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rogram\2018\APBD Awal 2018\KUA PPAS 2018\"/>
    </mc:Choice>
  </mc:AlternateContent>
  <bookViews>
    <workbookView xWindow="0" yWindow="0" windowWidth="28800" windowHeight="12450" firstSheet="13" activeTab="13"/>
  </bookViews>
  <sheets>
    <sheet name="PUPR" sheetId="3" state="hidden" r:id="rId1"/>
    <sheet name="Gbg" sheetId="4" state="hidden" r:id="rId2"/>
    <sheet name="prog" sheetId="6" state="hidden" r:id="rId3"/>
    <sheet name="P3D" sheetId="8" state="hidden" r:id="rId4"/>
    <sheet name="ak" sheetId="12" state="hidden" r:id="rId5"/>
    <sheet name="BW" sheetId="13" state="hidden" r:id="rId6"/>
    <sheet name="Pindah" sheetId="14" state="hidden" r:id="rId7"/>
    <sheet name="PUPR (2)" sheetId="17" state="hidden" r:id="rId8"/>
    <sheet name="Pindah Perkimtan" sheetId="18" state="hidden" r:id="rId9"/>
    <sheet name="PUPR++" sheetId="19" state="hidden" r:id="rId10"/>
    <sheet name="prog++" sheetId="20" state="hidden" r:id="rId11"/>
    <sheet name="Gbg++" sheetId="21" state="hidden" r:id="rId12"/>
    <sheet name="ges++" sheetId="11" state="hidden" r:id="rId13"/>
    <sheet name="Ranperda" sheetId="31" r:id="rId14"/>
    <sheet name="Gbg+100" sheetId="22" r:id="rId15"/>
    <sheet name="ges+100" sheetId="23" state="hidden" r:id="rId16"/>
    <sheet name="prog+100" sheetId="24" r:id="rId17"/>
    <sheet name="ges+" sheetId="25" r:id="rId18"/>
    <sheet name="ges+15" sheetId="27" r:id="rId19"/>
    <sheet name="+++++" sheetId="26" r:id="rId20"/>
    <sheet name="ges+15 (2)" sheetId="28" r:id="rId21"/>
    <sheet name="ges+15 (3)" sheetId="29" r:id="rId22"/>
    <sheet name="ges+15 (4)" sheetId="30" r:id="rId23"/>
  </sheets>
  <definedNames>
    <definedName name="cek" localSheetId="4">#REF!</definedName>
    <definedName name="cek" localSheetId="5">#REF!</definedName>
    <definedName name="cek" localSheetId="1">#REF!</definedName>
    <definedName name="cek" localSheetId="11">#REF!</definedName>
    <definedName name="cek" localSheetId="14">#REF!</definedName>
    <definedName name="cek" localSheetId="17">#REF!</definedName>
    <definedName name="cek" localSheetId="12">#REF!</definedName>
    <definedName name="cek" localSheetId="15">#REF!</definedName>
    <definedName name="cek" localSheetId="18">#REF!</definedName>
    <definedName name="cek" localSheetId="20">#REF!</definedName>
    <definedName name="cek" localSheetId="21">#REF!</definedName>
    <definedName name="cek" localSheetId="22">#REF!</definedName>
    <definedName name="cek" localSheetId="3">#REF!</definedName>
    <definedName name="cek" localSheetId="6">#REF!</definedName>
    <definedName name="cek" localSheetId="8">#REF!</definedName>
    <definedName name="cek" localSheetId="2">#REF!</definedName>
    <definedName name="cek" localSheetId="10">#REF!</definedName>
    <definedName name="cek" localSheetId="16">#REF!</definedName>
    <definedName name="cek" localSheetId="0">#REF!</definedName>
    <definedName name="cek" localSheetId="7">#REF!</definedName>
    <definedName name="cek" localSheetId="9">#REF!</definedName>
    <definedName name="cek" localSheetId="13">#REF!</definedName>
    <definedName name="cek">#REF!</definedName>
    <definedName name="Gabung" localSheetId="4">#REF!</definedName>
    <definedName name="Gabung" localSheetId="5">#REF!</definedName>
    <definedName name="Gabung" localSheetId="11">#REF!</definedName>
    <definedName name="Gabung" localSheetId="14">#REF!</definedName>
    <definedName name="Gabung" localSheetId="17">#REF!</definedName>
    <definedName name="Gabung" localSheetId="12">#REF!</definedName>
    <definedName name="Gabung" localSheetId="15">#REF!</definedName>
    <definedName name="Gabung" localSheetId="18">#REF!</definedName>
    <definedName name="Gabung" localSheetId="20">#REF!</definedName>
    <definedName name="Gabung" localSheetId="21">#REF!</definedName>
    <definedName name="Gabung" localSheetId="22">#REF!</definedName>
    <definedName name="Gabung" localSheetId="6">#REF!</definedName>
    <definedName name="Gabung" localSheetId="8">#REF!</definedName>
    <definedName name="Gabung" localSheetId="2">#REF!</definedName>
    <definedName name="Gabung" localSheetId="10">#REF!</definedName>
    <definedName name="Gabung" localSheetId="16">#REF!</definedName>
    <definedName name="Gabung" localSheetId="7">#REF!</definedName>
    <definedName name="Gabung" localSheetId="9">#REF!</definedName>
    <definedName name="Gabung" localSheetId="13">#REF!</definedName>
    <definedName name="Gabung">#REF!</definedName>
    <definedName name="jmlkegiatan" localSheetId="4">#REF!</definedName>
    <definedName name="jmlkegiatan" localSheetId="5">#REF!</definedName>
    <definedName name="jmlkegiatan" localSheetId="1">#REF!</definedName>
    <definedName name="jmlkegiatan" localSheetId="11">#REF!</definedName>
    <definedName name="jmlkegiatan" localSheetId="14">#REF!</definedName>
    <definedName name="jmlkegiatan" localSheetId="17">#REF!</definedName>
    <definedName name="jmlkegiatan" localSheetId="12">#REF!</definedName>
    <definedName name="jmlkegiatan" localSheetId="15">#REF!</definedName>
    <definedName name="jmlkegiatan" localSheetId="18">#REF!</definedName>
    <definedName name="jmlkegiatan" localSheetId="20">#REF!</definedName>
    <definedName name="jmlkegiatan" localSheetId="21">#REF!</definedName>
    <definedName name="jmlkegiatan" localSheetId="22">#REF!</definedName>
    <definedName name="jmlkegiatan" localSheetId="3">#REF!</definedName>
    <definedName name="jmlkegiatan" localSheetId="6">#REF!</definedName>
    <definedName name="jmlkegiatan" localSheetId="8">#REF!</definedName>
    <definedName name="jmlkegiatan" localSheetId="2">#REF!</definedName>
    <definedName name="jmlkegiatan" localSheetId="10">#REF!</definedName>
    <definedName name="jmlkegiatan" localSheetId="16">#REF!</definedName>
    <definedName name="jmlkegiatan" localSheetId="0">#REF!</definedName>
    <definedName name="jmlkegiatan" localSheetId="7">#REF!</definedName>
    <definedName name="jmlkegiatan" localSheetId="9">#REF!</definedName>
    <definedName name="jmlkegiatan" localSheetId="13">#REF!</definedName>
    <definedName name="jmlkegiatan">#REF!</definedName>
    <definedName name="nrsmberpusat" localSheetId="4">#REF!</definedName>
    <definedName name="nrsmberpusat" localSheetId="5">#REF!</definedName>
    <definedName name="nrsmberpusat" localSheetId="1">#REF!</definedName>
    <definedName name="nrsmberpusat" localSheetId="11">#REF!</definedName>
    <definedName name="nrsmberpusat" localSheetId="14">#REF!</definedName>
    <definedName name="nrsmberpusat" localSheetId="17">#REF!</definedName>
    <definedName name="nrsmberpusat" localSheetId="12">#REF!</definedName>
    <definedName name="nrsmberpusat" localSheetId="15">#REF!</definedName>
    <definedName name="nrsmberpusat" localSheetId="18">#REF!</definedName>
    <definedName name="nrsmberpusat" localSheetId="20">#REF!</definedName>
    <definedName name="nrsmberpusat" localSheetId="21">#REF!</definedName>
    <definedName name="nrsmberpusat" localSheetId="22">#REF!</definedName>
    <definedName name="nrsmberpusat" localSheetId="3">#REF!</definedName>
    <definedName name="nrsmberpusat" localSheetId="6">#REF!</definedName>
    <definedName name="nrsmberpusat" localSheetId="8">#REF!</definedName>
    <definedName name="nrsmberpusat" localSheetId="2">#REF!</definedName>
    <definedName name="nrsmberpusat" localSheetId="10">#REF!</definedName>
    <definedName name="nrsmberpusat" localSheetId="16">#REF!</definedName>
    <definedName name="nrsmberpusat" localSheetId="0">#REF!</definedName>
    <definedName name="nrsmberpusat" localSheetId="7">#REF!</definedName>
    <definedName name="nrsmberpusat" localSheetId="9">#REF!</definedName>
    <definedName name="nrsmberpusat" localSheetId="13">#REF!</definedName>
    <definedName name="nrsmberpusat">#REF!</definedName>
    <definedName name="peserta" localSheetId="4">#REF!</definedName>
    <definedName name="peserta" localSheetId="5">#REF!</definedName>
    <definedName name="peserta" localSheetId="1">#REF!</definedName>
    <definedName name="peserta" localSheetId="11">#REF!</definedName>
    <definedName name="peserta" localSheetId="14">#REF!</definedName>
    <definedName name="peserta" localSheetId="17">#REF!</definedName>
    <definedName name="peserta" localSheetId="12">#REF!</definedName>
    <definedName name="peserta" localSheetId="15">#REF!</definedName>
    <definedName name="peserta" localSheetId="18">#REF!</definedName>
    <definedName name="peserta" localSheetId="20">#REF!</definedName>
    <definedName name="peserta" localSheetId="21">#REF!</definedName>
    <definedName name="peserta" localSheetId="22">#REF!</definedName>
    <definedName name="peserta" localSheetId="3">#REF!</definedName>
    <definedName name="peserta" localSheetId="6">#REF!</definedName>
    <definedName name="peserta" localSheetId="8">#REF!</definedName>
    <definedName name="peserta" localSheetId="2">#REF!</definedName>
    <definedName name="peserta" localSheetId="10">#REF!</definedName>
    <definedName name="peserta" localSheetId="16">#REF!</definedName>
    <definedName name="peserta" localSheetId="0">#REF!</definedName>
    <definedName name="peserta" localSheetId="7">#REF!</definedName>
    <definedName name="peserta" localSheetId="9">#REF!</definedName>
    <definedName name="peserta" localSheetId="13">#REF!</definedName>
    <definedName name="peserta">#REF!</definedName>
    <definedName name="peserta1" localSheetId="4">#REF!</definedName>
    <definedName name="peserta1" localSheetId="5">#REF!</definedName>
    <definedName name="peserta1" localSheetId="1">#REF!</definedName>
    <definedName name="peserta1" localSheetId="11">#REF!</definedName>
    <definedName name="peserta1" localSheetId="14">#REF!</definedName>
    <definedName name="peserta1" localSheetId="17">#REF!</definedName>
    <definedName name="peserta1" localSheetId="12">#REF!</definedName>
    <definedName name="peserta1" localSheetId="15">#REF!</definedName>
    <definedName name="peserta1" localSheetId="18">#REF!</definedName>
    <definedName name="peserta1" localSheetId="20">#REF!</definedName>
    <definedName name="peserta1" localSheetId="21">#REF!</definedName>
    <definedName name="peserta1" localSheetId="22">#REF!</definedName>
    <definedName name="peserta1" localSheetId="3">#REF!</definedName>
    <definedName name="peserta1" localSheetId="6">#REF!</definedName>
    <definedName name="peserta1" localSheetId="8">#REF!</definedName>
    <definedName name="peserta1" localSheetId="2">#REF!</definedName>
    <definedName name="peserta1" localSheetId="10">#REF!</definedName>
    <definedName name="peserta1" localSheetId="16">#REF!</definedName>
    <definedName name="peserta1" localSheetId="0">#REF!</definedName>
    <definedName name="peserta1" localSheetId="7">#REF!</definedName>
    <definedName name="peserta1" localSheetId="9">#REF!</definedName>
    <definedName name="peserta1" localSheetId="13">#REF!</definedName>
    <definedName name="peserta1">#REF!</definedName>
    <definedName name="_xlnm.Print_Area" localSheetId="19">'+++++'!$B$1:$I$13</definedName>
    <definedName name="_xlnm.Print_Area" localSheetId="4">ak!$B$2:$P$249</definedName>
    <definedName name="_xlnm.Print_Area" localSheetId="5">BW!$B$2:$L$246</definedName>
    <definedName name="_xlnm.Print_Area" localSheetId="1">Gbg!$B$2:$L$246</definedName>
    <definedName name="_xlnm.Print_Area" localSheetId="11">'Gbg++'!$B$2:$P$262</definedName>
    <definedName name="_xlnm.Print_Area" localSheetId="14">'Gbg+100'!$C$3:$M$262</definedName>
    <definedName name="_xlnm.Print_Area" localSheetId="17">'ges+'!$C$3:$K$31</definedName>
    <definedName name="_xlnm.Print_Area" localSheetId="12">'ges++'!$C$3:$K$31</definedName>
    <definedName name="_xlnm.Print_Area" localSheetId="15">'ges+100'!$C$3:$K$31</definedName>
    <definedName name="_xlnm.Print_Area" localSheetId="18">'ges+15'!$B$42:$K$70</definedName>
    <definedName name="_xlnm.Print_Area" localSheetId="20">'ges+15 (2)'!$B$42:$K$70</definedName>
    <definedName name="_xlnm.Print_Area" localSheetId="21">'ges+15 (3)'!$B$42:$K$70</definedName>
    <definedName name="_xlnm.Print_Area" localSheetId="22">'ges+15 (4)'!$B$42:$K$70</definedName>
    <definedName name="_xlnm.Print_Area" localSheetId="3">P3D!$A$1:$E$22</definedName>
    <definedName name="_xlnm.Print_Area" localSheetId="6">Pindah!$B$2:$O$261</definedName>
    <definedName name="_xlnm.Print_Area" localSheetId="8">'Pindah Perkimtan'!$B$2:$N$56</definedName>
    <definedName name="_xlnm.Print_Area" localSheetId="2">prog!$B$2:$J$29</definedName>
    <definedName name="_xlnm.Print_Area" localSheetId="10">'prog++'!$B$2:$K$29</definedName>
    <definedName name="_xlnm.Print_Area" localSheetId="16">'prog+100'!$B$2:$K$29</definedName>
    <definedName name="_xlnm.Print_Area" localSheetId="0">PUPR!$B$2:$N$261</definedName>
    <definedName name="_xlnm.Print_Area" localSheetId="7">'PUPR (2)'!$B$3:$N$241</definedName>
    <definedName name="_xlnm.Print_Area" localSheetId="9">'PUPR++'!$B$2:$P$262</definedName>
    <definedName name="_xlnm.Print_Area" localSheetId="13">Ranperda!$C$3:$M$262</definedName>
    <definedName name="_xlnm.Print_Titles" localSheetId="4">ak!$8:$9</definedName>
    <definedName name="_xlnm.Print_Titles" localSheetId="5">BW!$8:$9</definedName>
    <definedName name="_xlnm.Print_Titles" localSheetId="1">Gbg!$8:$9</definedName>
    <definedName name="_xlnm.Print_Titles" localSheetId="11">'Gbg++'!$8:$9</definedName>
    <definedName name="_xlnm.Print_Titles" localSheetId="14">'Gbg+100'!$8:$9</definedName>
    <definedName name="_xlnm.Print_Titles" localSheetId="17">'ges+'!$8:$9</definedName>
    <definedName name="_xlnm.Print_Titles" localSheetId="12">'ges++'!$8:$9</definedName>
    <definedName name="_xlnm.Print_Titles" localSheetId="15">'ges+100'!$8:$9</definedName>
    <definedName name="_xlnm.Print_Titles" localSheetId="6">Pindah!$8:$9</definedName>
    <definedName name="_xlnm.Print_Titles" localSheetId="8">'Pindah Perkimtan'!$8:$9</definedName>
    <definedName name="_xlnm.Print_Titles" localSheetId="2">prog!$8:$9</definedName>
    <definedName name="_xlnm.Print_Titles" localSheetId="10">'prog++'!$8:$9</definedName>
    <definedName name="_xlnm.Print_Titles" localSheetId="16">'prog+100'!$8:$9</definedName>
    <definedName name="_xlnm.Print_Titles" localSheetId="0">PUPR!$8:$9</definedName>
    <definedName name="_xlnm.Print_Titles" localSheetId="7">'PUPR (2)'!$8:$9</definedName>
    <definedName name="_xlnm.Print_Titles" localSheetId="9">'PUPR++'!$8:$9</definedName>
    <definedName name="_xlnm.Print_Titles" localSheetId="13">Ranperda!$8:$9</definedName>
    <definedName name="YUN" localSheetId="4">#REF!</definedName>
    <definedName name="YUN" localSheetId="5">#REF!</definedName>
    <definedName name="YUN" localSheetId="1">#REF!</definedName>
    <definedName name="YUN" localSheetId="11">#REF!</definedName>
    <definedName name="YUN" localSheetId="14">#REF!</definedName>
    <definedName name="YUN" localSheetId="17">#REF!</definedName>
    <definedName name="YUN" localSheetId="12">#REF!</definedName>
    <definedName name="YUN" localSheetId="15">#REF!</definedName>
    <definedName name="YUN" localSheetId="18">#REF!</definedName>
    <definedName name="YUN" localSheetId="20">#REF!</definedName>
    <definedName name="YUN" localSheetId="21">#REF!</definedName>
    <definedName name="YUN" localSheetId="22">#REF!</definedName>
    <definedName name="YUN" localSheetId="3">#REF!</definedName>
    <definedName name="YUN" localSheetId="6">#REF!</definedName>
    <definedName name="YUN" localSheetId="8">#REF!</definedName>
    <definedName name="YUN" localSheetId="2">#REF!</definedName>
    <definedName name="YUN" localSheetId="10">#REF!</definedName>
    <definedName name="YUN" localSheetId="16">#REF!</definedName>
    <definedName name="YUN" localSheetId="0">#REF!</definedName>
    <definedName name="YUN" localSheetId="7">#REF!</definedName>
    <definedName name="YUN" localSheetId="9">#REF!</definedName>
    <definedName name="YUN" localSheetId="13">#REF!</definedName>
    <definedName name="YU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0" i="31" l="1"/>
  <c r="L260" i="31"/>
  <c r="K260" i="31"/>
  <c r="J260" i="31"/>
  <c r="M254" i="31"/>
  <c r="L254" i="31"/>
  <c r="K254" i="31"/>
  <c r="J254" i="31"/>
  <c r="M249" i="31"/>
  <c r="L249" i="31"/>
  <c r="K249" i="31"/>
  <c r="J249" i="31"/>
  <c r="M244" i="31"/>
  <c r="L244" i="31"/>
  <c r="K244" i="31"/>
  <c r="J244" i="31"/>
  <c r="M242" i="31"/>
  <c r="L242" i="31"/>
  <c r="K242" i="31"/>
  <c r="J242" i="31"/>
  <c r="M239" i="31"/>
  <c r="L239" i="31"/>
  <c r="K239" i="31"/>
  <c r="J239" i="31"/>
  <c r="M238" i="31"/>
  <c r="L238" i="31"/>
  <c r="K238" i="31"/>
  <c r="J238" i="31"/>
  <c r="M231" i="31"/>
  <c r="L231" i="31"/>
  <c r="K231" i="31"/>
  <c r="J231" i="31"/>
  <c r="M228" i="31"/>
  <c r="M227" i="31" s="1"/>
  <c r="K228" i="31"/>
  <c r="J228" i="31"/>
  <c r="L227" i="31"/>
  <c r="K227" i="31"/>
  <c r="J227" i="31"/>
  <c r="M223" i="31"/>
  <c r="L223" i="31"/>
  <c r="K223" i="31"/>
  <c r="J223" i="31"/>
  <c r="M214" i="31"/>
  <c r="L214" i="31"/>
  <c r="K214" i="31"/>
  <c r="J214" i="31"/>
  <c r="M213" i="31"/>
  <c r="K213" i="31"/>
  <c r="J213" i="31"/>
  <c r="M211" i="31"/>
  <c r="M210" i="31" s="1"/>
  <c r="L210" i="31"/>
  <c r="K210" i="31"/>
  <c r="J210" i="31"/>
  <c r="J207" i="31"/>
  <c r="M206" i="31"/>
  <c r="L206" i="31"/>
  <c r="K206" i="31"/>
  <c r="J206" i="31"/>
  <c r="M204" i="31"/>
  <c r="L204" i="31"/>
  <c r="K204" i="31"/>
  <c r="J204" i="31"/>
  <c r="M203" i="31"/>
  <c r="L203" i="31"/>
  <c r="K203" i="31"/>
  <c r="J203" i="31"/>
  <c r="M200" i="31"/>
  <c r="L200" i="31"/>
  <c r="K200" i="31"/>
  <c r="J200" i="31"/>
  <c r="M197" i="31"/>
  <c r="M196" i="31"/>
  <c r="L196" i="31"/>
  <c r="K196" i="31"/>
  <c r="J196" i="31"/>
  <c r="M194" i="31"/>
  <c r="M193" i="31" s="1"/>
  <c r="L194" i="31"/>
  <c r="L193" i="31"/>
  <c r="K193" i="31"/>
  <c r="J193" i="31"/>
  <c r="M190" i="31"/>
  <c r="L190" i="31"/>
  <c r="K190" i="31"/>
  <c r="J190" i="31"/>
  <c r="M188" i="31"/>
  <c r="L188" i="31"/>
  <c r="K188" i="31"/>
  <c r="K187" i="31" s="1"/>
  <c r="K182" i="31" s="1"/>
  <c r="J188" i="31"/>
  <c r="J187" i="31" s="1"/>
  <c r="J182" i="31" s="1"/>
  <c r="M187" i="31"/>
  <c r="L187" i="31"/>
  <c r="L182" i="31" s="1"/>
  <c r="K184" i="31"/>
  <c r="U183" i="31"/>
  <c r="M183" i="31"/>
  <c r="L183" i="31"/>
  <c r="K183" i="31"/>
  <c r="J183" i="31"/>
  <c r="M179" i="31"/>
  <c r="M178" i="31" s="1"/>
  <c r="M174" i="31" s="1"/>
  <c r="L178" i="31"/>
  <c r="K178" i="31"/>
  <c r="J178" i="31"/>
  <c r="M176" i="31"/>
  <c r="L176" i="31"/>
  <c r="K176" i="31"/>
  <c r="J176" i="31"/>
  <c r="L174" i="31"/>
  <c r="K174" i="31"/>
  <c r="J174" i="31"/>
  <c r="M170" i="31"/>
  <c r="M169" i="31"/>
  <c r="L169" i="31"/>
  <c r="K169" i="31"/>
  <c r="J169" i="31"/>
  <c r="M165" i="31"/>
  <c r="U165" i="31" s="1"/>
  <c r="L165" i="31"/>
  <c r="K165" i="31"/>
  <c r="J165" i="31"/>
  <c r="M164" i="31"/>
  <c r="L164" i="31"/>
  <c r="K164" i="31"/>
  <c r="J164" i="31"/>
  <c r="K163" i="31"/>
  <c r="J163" i="31"/>
  <c r="M161" i="31"/>
  <c r="L161" i="31"/>
  <c r="K161" i="31"/>
  <c r="J161" i="31"/>
  <c r="M159" i="31"/>
  <c r="L159" i="31"/>
  <c r="K159" i="31"/>
  <c r="J159" i="31"/>
  <c r="M157" i="31"/>
  <c r="L157" i="31"/>
  <c r="K157" i="31"/>
  <c r="J157" i="31"/>
  <c r="M153" i="31"/>
  <c r="M150" i="31"/>
  <c r="L150" i="31"/>
  <c r="L147" i="31" s="1"/>
  <c r="L143" i="31" s="1"/>
  <c r="K150" i="31"/>
  <c r="K147" i="31" s="1"/>
  <c r="K143" i="31" s="1"/>
  <c r="J150" i="31"/>
  <c r="M148" i="31"/>
  <c r="M147" i="31"/>
  <c r="J147" i="31"/>
  <c r="M144" i="31"/>
  <c r="M143" i="31" s="1"/>
  <c r="J143" i="31"/>
  <c r="M139" i="31"/>
  <c r="M137" i="31" s="1"/>
  <c r="M138" i="31"/>
  <c r="L138" i="31"/>
  <c r="K138" i="31"/>
  <c r="J138" i="31"/>
  <c r="L137" i="31"/>
  <c r="K137" i="31"/>
  <c r="J137" i="31"/>
  <c r="M134" i="31"/>
  <c r="L134" i="31"/>
  <c r="K134" i="31"/>
  <c r="J134" i="31"/>
  <c r="M132" i="31"/>
  <c r="L132" i="31"/>
  <c r="K132" i="31"/>
  <c r="J132" i="31"/>
  <c r="M130" i="31"/>
  <c r="L130" i="31"/>
  <c r="K130" i="31"/>
  <c r="J130" i="31"/>
  <c r="I130" i="31"/>
  <c r="M128" i="31"/>
  <c r="L128" i="31"/>
  <c r="K128" i="31"/>
  <c r="J128" i="31"/>
  <c r="I128" i="31"/>
  <c r="M127" i="31"/>
  <c r="M126" i="31" s="1"/>
  <c r="K127" i="31"/>
  <c r="L126" i="31"/>
  <c r="K126" i="31"/>
  <c r="J126" i="31"/>
  <c r="I126" i="31"/>
  <c r="M123" i="31"/>
  <c r="M120" i="31" s="1"/>
  <c r="L123" i="31"/>
  <c r="L120" i="31" s="1"/>
  <c r="M121" i="31"/>
  <c r="L121" i="31"/>
  <c r="K121" i="31"/>
  <c r="J121" i="31"/>
  <c r="K120" i="31"/>
  <c r="J120" i="31"/>
  <c r="M116" i="31"/>
  <c r="L116" i="31"/>
  <c r="K116" i="31"/>
  <c r="J116" i="31"/>
  <c r="M115" i="31"/>
  <c r="L115" i="31"/>
  <c r="K115" i="31"/>
  <c r="J115" i="31"/>
  <c r="M112" i="31"/>
  <c r="L112" i="31"/>
  <c r="K112" i="31"/>
  <c r="J112" i="31"/>
  <c r="M107" i="31"/>
  <c r="L107" i="31"/>
  <c r="M106" i="31"/>
  <c r="L106" i="31"/>
  <c r="K106" i="31"/>
  <c r="M105" i="31"/>
  <c r="L105" i="31"/>
  <c r="L102" i="31" s="1"/>
  <c r="L53" i="31" s="1"/>
  <c r="L52" i="31" s="1"/>
  <c r="K105" i="31"/>
  <c r="J105" i="31"/>
  <c r="M103" i="31"/>
  <c r="K103" i="31"/>
  <c r="K102" i="31" s="1"/>
  <c r="M102" i="31"/>
  <c r="J102" i="31"/>
  <c r="M99" i="31"/>
  <c r="M97" i="31" s="1"/>
  <c r="M53" i="31" s="1"/>
  <c r="L99" i="31"/>
  <c r="K99" i="31"/>
  <c r="M98" i="31"/>
  <c r="L98" i="31"/>
  <c r="K98" i="31"/>
  <c r="J98" i="31"/>
  <c r="L97" i="31"/>
  <c r="K97" i="31"/>
  <c r="J97" i="31"/>
  <c r="M94" i="31"/>
  <c r="L94" i="31"/>
  <c r="K94" i="31"/>
  <c r="J94" i="31"/>
  <c r="M93" i="31"/>
  <c r="L93" i="31"/>
  <c r="K93" i="31"/>
  <c r="J93" i="31"/>
  <c r="M91" i="31"/>
  <c r="L91" i="31"/>
  <c r="K91" i="31"/>
  <c r="J91" i="31"/>
  <c r="M76" i="31"/>
  <c r="T72" i="31"/>
  <c r="M69" i="31"/>
  <c r="L69" i="31"/>
  <c r="K69" i="31"/>
  <c r="J69" i="31"/>
  <c r="M68" i="31"/>
  <c r="L68" i="31"/>
  <c r="K68" i="31"/>
  <c r="J68" i="31"/>
  <c r="U67" i="31"/>
  <c r="M67" i="31"/>
  <c r="L67" i="31"/>
  <c r="K67" i="31"/>
  <c r="J67" i="31"/>
  <c r="M66" i="31"/>
  <c r="L66" i="31"/>
  <c r="K66" i="31"/>
  <c r="J66" i="31"/>
  <c r="M63" i="31"/>
  <c r="L63" i="31"/>
  <c r="K63" i="31"/>
  <c r="J63" i="31"/>
  <c r="M59" i="31"/>
  <c r="L59" i="31"/>
  <c r="K59" i="31"/>
  <c r="J59" i="31"/>
  <c r="J53" i="31" s="1"/>
  <c r="J52" i="31" s="1"/>
  <c r="K58" i="31"/>
  <c r="M55" i="31"/>
  <c r="L55" i="31"/>
  <c r="K55" i="31"/>
  <c r="J55" i="31"/>
  <c r="M54" i="31"/>
  <c r="L54" i="31"/>
  <c r="K54" i="31"/>
  <c r="J54" i="31"/>
  <c r="M49" i="31"/>
  <c r="L49" i="31"/>
  <c r="L46" i="31" s="1"/>
  <c r="K49" i="31"/>
  <c r="J49" i="31"/>
  <c r="M47" i="31"/>
  <c r="M46" i="31" s="1"/>
  <c r="K47" i="31"/>
  <c r="K46" i="31" s="1"/>
  <c r="J46" i="31"/>
  <c r="M44" i="31"/>
  <c r="L44" i="31"/>
  <c r="K44" i="31"/>
  <c r="J44" i="31"/>
  <c r="M43" i="31"/>
  <c r="L43" i="31"/>
  <c r="K43" i="31"/>
  <c r="J43" i="31"/>
  <c r="M41" i="31"/>
  <c r="L41" i="31"/>
  <c r="K41" i="31"/>
  <c r="J41" i="31"/>
  <c r="M40" i="31"/>
  <c r="L40" i="31"/>
  <c r="K40" i="31"/>
  <c r="J40" i="31"/>
  <c r="M38" i="31"/>
  <c r="L38" i="31"/>
  <c r="K38" i="31"/>
  <c r="J38" i="31"/>
  <c r="M33" i="31"/>
  <c r="L33" i="31"/>
  <c r="K33" i="31"/>
  <c r="J33" i="31"/>
  <c r="M29" i="31"/>
  <c r="L29" i="31"/>
  <c r="K29" i="31"/>
  <c r="J29" i="31"/>
  <c r="M27" i="31"/>
  <c r="L27" i="31"/>
  <c r="K27" i="31"/>
  <c r="K24" i="31" s="1"/>
  <c r="J27" i="31"/>
  <c r="J24" i="31" s="1"/>
  <c r="M26" i="31"/>
  <c r="L26" i="31"/>
  <c r="M24" i="31"/>
  <c r="L24" i="31"/>
  <c r="M22" i="31"/>
  <c r="L22" i="31"/>
  <c r="K22" i="31"/>
  <c r="J22" i="31"/>
  <c r="M21" i="31"/>
  <c r="L21" i="31"/>
  <c r="K21" i="31"/>
  <c r="J21" i="31"/>
  <c r="M18" i="31"/>
  <c r="L18" i="31"/>
  <c r="K18" i="31"/>
  <c r="J18" i="31"/>
  <c r="M16" i="31"/>
  <c r="M13" i="31" s="1"/>
  <c r="L16" i="31"/>
  <c r="L13" i="31" s="1"/>
  <c r="L12" i="31" s="1"/>
  <c r="L11" i="31" s="1"/>
  <c r="K16" i="31"/>
  <c r="J16" i="31"/>
  <c r="M14" i="31"/>
  <c r="L14" i="31"/>
  <c r="K13" i="31"/>
  <c r="K12" i="31" s="1"/>
  <c r="J13" i="31"/>
  <c r="J12" i="31" s="1"/>
  <c r="R11" i="31"/>
  <c r="V6" i="31"/>
  <c r="M12" i="31" l="1"/>
  <c r="J11" i="31"/>
  <c r="S11" i="31" s="1"/>
  <c r="K53" i="31"/>
  <c r="K52" i="31" s="1"/>
  <c r="K11" i="31" s="1"/>
  <c r="M182" i="31"/>
  <c r="M52" i="31" s="1"/>
  <c r="U187" i="31"/>
  <c r="M106" i="22"/>
  <c r="M139" i="22"/>
  <c r="M127" i="22"/>
  <c r="M188" i="22"/>
  <c r="T10" i="31" l="1"/>
  <c r="U10" i="31"/>
  <c r="M11" i="31"/>
  <c r="S6" i="31"/>
  <c r="T8" i="31"/>
  <c r="T11" i="31" s="1"/>
  <c r="V6" i="22"/>
  <c r="U13" i="31" l="1"/>
  <c r="U12" i="31"/>
  <c r="V10" i="31"/>
  <c r="U11" i="31"/>
  <c r="M134" i="22"/>
  <c r="M144" i="22" l="1"/>
  <c r="M153" i="22" l="1"/>
  <c r="M123" i="22" l="1"/>
  <c r="M94" i="22"/>
  <c r="M148" i="22"/>
  <c r="M170" i="22"/>
  <c r="M197" i="22" l="1"/>
  <c r="I107" i="30" l="1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 s="1"/>
  <c r="H88" i="30"/>
  <c r="G88" i="30"/>
  <c r="I68" i="30"/>
  <c r="I67" i="30"/>
  <c r="I66" i="30"/>
  <c r="I65" i="30"/>
  <c r="I64" i="30"/>
  <c r="I63" i="30"/>
  <c r="I62" i="30"/>
  <c r="I61" i="30"/>
  <c r="I60" i="30"/>
  <c r="I59" i="30"/>
  <c r="I58" i="30"/>
  <c r="I57" i="30"/>
  <c r="I56" i="30"/>
  <c r="I55" i="30"/>
  <c r="I54" i="30"/>
  <c r="I53" i="30"/>
  <c r="I52" i="30"/>
  <c r="I49" i="30" s="1"/>
  <c r="I51" i="30"/>
  <c r="I50" i="30"/>
  <c r="H49" i="30"/>
  <c r="G49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0" i="30" s="1"/>
  <c r="I12" i="30"/>
  <c r="I11" i="30"/>
  <c r="H10" i="30"/>
  <c r="G10" i="30"/>
  <c r="M213" i="22" l="1"/>
  <c r="M211" i="22"/>
  <c r="M194" i="22"/>
  <c r="M98" i="22"/>
  <c r="M99" i="22"/>
  <c r="M76" i="22" l="1"/>
  <c r="I107" i="29" l="1"/>
  <c r="I106" i="29"/>
  <c r="I105" i="29"/>
  <c r="I104" i="29"/>
  <c r="I103" i="29"/>
  <c r="I102" i="29"/>
  <c r="I101" i="29"/>
  <c r="I100" i="29"/>
  <c r="I99" i="29"/>
  <c r="I98" i="29"/>
  <c r="I97" i="29"/>
  <c r="I96" i="29"/>
  <c r="I95" i="29"/>
  <c r="I94" i="29"/>
  <c r="I93" i="29"/>
  <c r="I92" i="29"/>
  <c r="I91" i="29"/>
  <c r="I90" i="29"/>
  <c r="I89" i="29"/>
  <c r="I88" i="29"/>
  <c r="H88" i="29"/>
  <c r="G88" i="29"/>
  <c r="I68" i="29"/>
  <c r="I67" i="29"/>
  <c r="I66" i="29"/>
  <c r="I65" i="29"/>
  <c r="I64" i="29"/>
  <c r="I63" i="29"/>
  <c r="I62" i="29"/>
  <c r="I61" i="29"/>
  <c r="I60" i="29"/>
  <c r="I59" i="29"/>
  <c r="I58" i="29"/>
  <c r="I57" i="29"/>
  <c r="I56" i="29"/>
  <c r="I55" i="29"/>
  <c r="I54" i="29"/>
  <c r="I53" i="29"/>
  <c r="I52" i="29"/>
  <c r="I51" i="29"/>
  <c r="I50" i="29"/>
  <c r="H49" i="29"/>
  <c r="G49" i="29"/>
  <c r="I27" i="29"/>
  <c r="I26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2" i="29"/>
  <c r="I10" i="29" s="1"/>
  <c r="I11" i="29"/>
  <c r="H10" i="29"/>
  <c r="G10" i="29"/>
  <c r="I49" i="29" l="1"/>
  <c r="I107" i="28" l="1"/>
  <c r="I106" i="28"/>
  <c r="I105" i="28"/>
  <c r="I104" i="28"/>
  <c r="I103" i="28"/>
  <c r="I102" i="28"/>
  <c r="I101" i="28"/>
  <c r="I100" i="28"/>
  <c r="I99" i="28"/>
  <c r="I98" i="28"/>
  <c r="I97" i="28"/>
  <c r="I96" i="28"/>
  <c r="I95" i="28"/>
  <c r="I94" i="28"/>
  <c r="I93" i="28"/>
  <c r="I92" i="28"/>
  <c r="I91" i="28"/>
  <c r="I90" i="28"/>
  <c r="I89" i="28"/>
  <c r="I88" i="28"/>
  <c r="H88" i="28"/>
  <c r="G88" i="28"/>
  <c r="I61" i="28"/>
  <c r="I62" i="28"/>
  <c r="I63" i="28"/>
  <c r="I64" i="28"/>
  <c r="I65" i="28"/>
  <c r="I66" i="28"/>
  <c r="I67" i="28"/>
  <c r="I68" i="28"/>
  <c r="M179" i="22"/>
  <c r="M178" i="22" s="1"/>
  <c r="I55" i="28"/>
  <c r="I56" i="28"/>
  <c r="I57" i="28"/>
  <c r="H49" i="28"/>
  <c r="I58" i="28"/>
  <c r="I59" i="28"/>
  <c r="I60" i="28"/>
  <c r="I54" i="28"/>
  <c r="I53" i="28"/>
  <c r="I52" i="28"/>
  <c r="I51" i="28"/>
  <c r="I50" i="28"/>
  <c r="G49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H10" i="28"/>
  <c r="G10" i="28"/>
  <c r="M165" i="22"/>
  <c r="I49" i="27"/>
  <c r="H49" i="27"/>
  <c r="G49" i="27"/>
  <c r="G91" i="27"/>
  <c r="H91" i="27"/>
  <c r="I108" i="27"/>
  <c r="I107" i="27"/>
  <c r="I106" i="27"/>
  <c r="I105" i="27"/>
  <c r="I104" i="27"/>
  <c r="I103" i="27"/>
  <c r="I102" i="27"/>
  <c r="I101" i="27"/>
  <c r="I100" i="27"/>
  <c r="H99" i="27"/>
  <c r="I99" i="27" s="1"/>
  <c r="I98" i="27"/>
  <c r="I97" i="27"/>
  <c r="I96" i="27"/>
  <c r="I95" i="27"/>
  <c r="I94" i="27"/>
  <c r="I93" i="27"/>
  <c r="I92" i="27"/>
  <c r="H57" i="27"/>
  <c r="I59" i="27"/>
  <c r="I60" i="27"/>
  <c r="I61" i="27"/>
  <c r="I62" i="27"/>
  <c r="I63" i="27"/>
  <c r="I64" i="27"/>
  <c r="I65" i="27"/>
  <c r="I66" i="27"/>
  <c r="G33" i="26"/>
  <c r="I10" i="28" l="1"/>
  <c r="I49" i="28"/>
  <c r="I91" i="27"/>
  <c r="I58" i="27"/>
  <c r="I57" i="27"/>
  <c r="I56" i="27"/>
  <c r="I55" i="27"/>
  <c r="I54" i="27"/>
  <c r="I53" i="27"/>
  <c r="I52" i="27"/>
  <c r="I51" i="27"/>
  <c r="I50" i="27"/>
  <c r="I27" i="27"/>
  <c r="I26" i="27"/>
  <c r="I25" i="27"/>
  <c r="I24" i="27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H10" i="27"/>
  <c r="G10" i="27"/>
  <c r="I10" i="27" l="1"/>
  <c r="T72" i="22" l="1"/>
  <c r="F35" i="26"/>
  <c r="E35" i="26"/>
  <c r="G34" i="26"/>
  <c r="G32" i="26"/>
  <c r="G31" i="26"/>
  <c r="G30" i="26"/>
  <c r="G29" i="26"/>
  <c r="G28" i="26"/>
  <c r="F12" i="26"/>
  <c r="E12" i="26"/>
  <c r="G11" i="26"/>
  <c r="G10" i="26"/>
  <c r="G9" i="26"/>
  <c r="G8" i="26"/>
  <c r="G7" i="26"/>
  <c r="G12" i="26" l="1"/>
  <c r="G35" i="26"/>
  <c r="I21" i="25"/>
  <c r="I20" i="25"/>
  <c r="I22" i="25"/>
  <c r="I23" i="25"/>
  <c r="I24" i="25"/>
  <c r="I25" i="25"/>
  <c r="I26" i="25"/>
  <c r="I27" i="25"/>
  <c r="J207" i="22" l="1"/>
  <c r="I19" i="25" l="1"/>
  <c r="I18" i="25"/>
  <c r="I17" i="25"/>
  <c r="I16" i="25"/>
  <c r="I15" i="25"/>
  <c r="I14" i="25"/>
  <c r="I13" i="25"/>
  <c r="I12" i="25"/>
  <c r="I11" i="25"/>
  <c r="H10" i="25"/>
  <c r="G10" i="25"/>
  <c r="I10" i="25" l="1"/>
  <c r="I28" i="23"/>
  <c r="I27" i="23"/>
  <c r="I26" i="23"/>
  <c r="I25" i="23"/>
  <c r="I24" i="23"/>
  <c r="I23" i="23"/>
  <c r="I22" i="23"/>
  <c r="I21" i="23"/>
  <c r="I20" i="23"/>
  <c r="I12" i="23"/>
  <c r="I11" i="23"/>
  <c r="I13" i="23"/>
  <c r="I14" i="23"/>
  <c r="I15" i="23"/>
  <c r="I16" i="23"/>
  <c r="I17" i="23"/>
  <c r="I18" i="23"/>
  <c r="I19" i="23"/>
  <c r="I25" i="24" l="1"/>
  <c r="M10" i="24"/>
  <c r="L194" i="22"/>
  <c r="K184" i="22"/>
  <c r="K183" i="22" s="1"/>
  <c r="K188" i="22"/>
  <c r="H10" i="23"/>
  <c r="G10" i="23"/>
  <c r="M260" i="22"/>
  <c r="I28" i="24" s="1"/>
  <c r="L260" i="22"/>
  <c r="K260" i="22"/>
  <c r="J260" i="22"/>
  <c r="H28" i="24" s="1"/>
  <c r="M254" i="22"/>
  <c r="I27" i="24" s="1"/>
  <c r="L254" i="22"/>
  <c r="K254" i="22"/>
  <c r="J254" i="22"/>
  <c r="H27" i="24" s="1"/>
  <c r="M249" i="22"/>
  <c r="L249" i="22"/>
  <c r="K249" i="22"/>
  <c r="J249" i="22"/>
  <c r="M244" i="22"/>
  <c r="L244" i="22"/>
  <c r="K244" i="22"/>
  <c r="J244" i="22"/>
  <c r="M242" i="22"/>
  <c r="L242" i="22"/>
  <c r="K242" i="22"/>
  <c r="J242" i="22"/>
  <c r="M239" i="22"/>
  <c r="L239" i="22"/>
  <c r="K239" i="22"/>
  <c r="J239" i="22"/>
  <c r="M238" i="22"/>
  <c r="I26" i="24" s="1"/>
  <c r="L238" i="22"/>
  <c r="K238" i="22"/>
  <c r="J238" i="22"/>
  <c r="H26" i="24" s="1"/>
  <c r="M231" i="22"/>
  <c r="L231" i="22"/>
  <c r="K231" i="22"/>
  <c r="J231" i="22"/>
  <c r="H25" i="24" s="1"/>
  <c r="M228" i="22"/>
  <c r="K228" i="22"/>
  <c r="J228" i="22"/>
  <c r="M227" i="22"/>
  <c r="I24" i="24" s="1"/>
  <c r="L227" i="22"/>
  <c r="K227" i="22"/>
  <c r="J227" i="22"/>
  <c r="H24" i="24" s="1"/>
  <c r="M223" i="22"/>
  <c r="I23" i="24" s="1"/>
  <c r="L223" i="22"/>
  <c r="K223" i="22"/>
  <c r="J223" i="22"/>
  <c r="H23" i="24" s="1"/>
  <c r="M214" i="22"/>
  <c r="L214" i="22"/>
  <c r="K214" i="22"/>
  <c r="J214" i="22"/>
  <c r="K213" i="22"/>
  <c r="J213" i="22"/>
  <c r="M210" i="22"/>
  <c r="L210" i="22"/>
  <c r="K210" i="22"/>
  <c r="J210" i="22"/>
  <c r="M206" i="22"/>
  <c r="L206" i="22"/>
  <c r="K206" i="22"/>
  <c r="J206" i="22"/>
  <c r="M204" i="22"/>
  <c r="L204" i="22"/>
  <c r="L203" i="22" s="1"/>
  <c r="K204" i="22"/>
  <c r="K203" i="22" s="1"/>
  <c r="J204" i="22"/>
  <c r="M203" i="22"/>
  <c r="J203" i="22"/>
  <c r="M200" i="22"/>
  <c r="L200" i="22"/>
  <c r="K200" i="22"/>
  <c r="J200" i="22"/>
  <c r="M196" i="22"/>
  <c r="L196" i="22"/>
  <c r="K196" i="22"/>
  <c r="J196" i="22"/>
  <c r="M193" i="22"/>
  <c r="L193" i="22"/>
  <c r="K193" i="22"/>
  <c r="J193" i="22"/>
  <c r="M190" i="22"/>
  <c r="L190" i="22"/>
  <c r="K190" i="22"/>
  <c r="J190" i="22"/>
  <c r="L188" i="22"/>
  <c r="J188" i="22"/>
  <c r="M187" i="22"/>
  <c r="U187" i="22" s="1"/>
  <c r="L187" i="22"/>
  <c r="K187" i="22"/>
  <c r="J187" i="22"/>
  <c r="M183" i="22"/>
  <c r="U183" i="22" s="1"/>
  <c r="L183" i="22"/>
  <c r="J183" i="22"/>
  <c r="L178" i="22"/>
  <c r="K178" i="22"/>
  <c r="J178" i="22"/>
  <c r="M176" i="22"/>
  <c r="L176" i="22"/>
  <c r="K176" i="22"/>
  <c r="J176" i="22"/>
  <c r="M174" i="22"/>
  <c r="I21" i="24" s="1"/>
  <c r="L174" i="22"/>
  <c r="K174" i="22"/>
  <c r="J174" i="22"/>
  <c r="H21" i="24" s="1"/>
  <c r="M169" i="22"/>
  <c r="I20" i="24" s="1"/>
  <c r="L169" i="22"/>
  <c r="K169" i="22"/>
  <c r="J169" i="22"/>
  <c r="H20" i="24" s="1"/>
  <c r="U165" i="22"/>
  <c r="L165" i="22"/>
  <c r="K165" i="22"/>
  <c r="J165" i="22"/>
  <c r="M164" i="22"/>
  <c r="L164" i="22"/>
  <c r="K164" i="22"/>
  <c r="J164" i="22"/>
  <c r="K163" i="22"/>
  <c r="J163" i="22"/>
  <c r="M161" i="22"/>
  <c r="L161" i="22"/>
  <c r="K161" i="22"/>
  <c r="J161" i="22"/>
  <c r="M159" i="22"/>
  <c r="L159" i="22"/>
  <c r="L157" i="22" s="1"/>
  <c r="K159" i="22"/>
  <c r="J159" i="22"/>
  <c r="M157" i="22"/>
  <c r="K157" i="22"/>
  <c r="J157" i="22"/>
  <c r="M150" i="22"/>
  <c r="L150" i="22"/>
  <c r="K150" i="22"/>
  <c r="J150" i="22"/>
  <c r="M147" i="22"/>
  <c r="L147" i="22"/>
  <c r="K147" i="22"/>
  <c r="K143" i="22" s="1"/>
  <c r="J147" i="22"/>
  <c r="J143" i="22"/>
  <c r="H19" i="24" s="1"/>
  <c r="M138" i="22"/>
  <c r="L138" i="22"/>
  <c r="K138" i="22"/>
  <c r="J138" i="22"/>
  <c r="M137" i="22"/>
  <c r="L137" i="22"/>
  <c r="K137" i="22"/>
  <c r="J137" i="22"/>
  <c r="L134" i="22"/>
  <c r="K134" i="22"/>
  <c r="J134" i="22"/>
  <c r="M132" i="22"/>
  <c r="L132" i="22"/>
  <c r="K132" i="22"/>
  <c r="J132" i="22"/>
  <c r="M130" i="22"/>
  <c r="L130" i="22"/>
  <c r="K130" i="22"/>
  <c r="J130" i="22"/>
  <c r="I130" i="22"/>
  <c r="M128" i="22"/>
  <c r="L128" i="22"/>
  <c r="K128" i="22"/>
  <c r="J128" i="22"/>
  <c r="I128" i="22"/>
  <c r="M126" i="22"/>
  <c r="K127" i="22"/>
  <c r="K126" i="22" s="1"/>
  <c r="L126" i="22"/>
  <c r="J126" i="22"/>
  <c r="I126" i="22"/>
  <c r="L123" i="22"/>
  <c r="L120" i="22" s="1"/>
  <c r="M121" i="22"/>
  <c r="L121" i="22"/>
  <c r="K121" i="22"/>
  <c r="J121" i="22"/>
  <c r="J120" i="22" s="1"/>
  <c r="M120" i="22"/>
  <c r="K120" i="22"/>
  <c r="M116" i="22"/>
  <c r="L116" i="22"/>
  <c r="K116" i="22"/>
  <c r="J116" i="22"/>
  <c r="M115" i="22"/>
  <c r="L115" i="22"/>
  <c r="K115" i="22"/>
  <c r="J115" i="22"/>
  <c r="M112" i="22"/>
  <c r="L112" i="22"/>
  <c r="K112" i="22"/>
  <c r="J112" i="22"/>
  <c r="M107" i="22"/>
  <c r="M102" i="22" s="1"/>
  <c r="L107" i="22"/>
  <c r="L106" i="22"/>
  <c r="K106" i="22"/>
  <c r="M105" i="22"/>
  <c r="L105" i="22"/>
  <c r="K105" i="22"/>
  <c r="J105" i="22"/>
  <c r="J102" i="22" s="1"/>
  <c r="M103" i="22"/>
  <c r="K103" i="22"/>
  <c r="L102" i="22"/>
  <c r="M97" i="22"/>
  <c r="L99" i="22"/>
  <c r="K99" i="22"/>
  <c r="L98" i="22"/>
  <c r="K98" i="22"/>
  <c r="K97" i="22" s="1"/>
  <c r="J98" i="22"/>
  <c r="J97" i="22" s="1"/>
  <c r="L94" i="22"/>
  <c r="K94" i="22"/>
  <c r="K93" i="22" s="1"/>
  <c r="J94" i="22"/>
  <c r="M93" i="22"/>
  <c r="L93" i="22"/>
  <c r="J93" i="22"/>
  <c r="M91" i="22"/>
  <c r="L91" i="22"/>
  <c r="K91" i="22"/>
  <c r="J91" i="22"/>
  <c r="M69" i="22"/>
  <c r="L69" i="22"/>
  <c r="K69" i="22"/>
  <c r="J69" i="22"/>
  <c r="M68" i="22"/>
  <c r="L68" i="22"/>
  <c r="K68" i="22"/>
  <c r="J68" i="22"/>
  <c r="U67" i="22"/>
  <c r="M67" i="22"/>
  <c r="L67" i="22"/>
  <c r="K67" i="22"/>
  <c r="J67" i="22"/>
  <c r="M66" i="22"/>
  <c r="L66" i="22"/>
  <c r="K66" i="22"/>
  <c r="J66" i="22"/>
  <c r="M63" i="22"/>
  <c r="L63" i="22"/>
  <c r="K63" i="22"/>
  <c r="J63" i="22"/>
  <c r="M59" i="22"/>
  <c r="L59" i="22"/>
  <c r="K59" i="22"/>
  <c r="J59" i="22"/>
  <c r="M55" i="22"/>
  <c r="K58" i="22"/>
  <c r="K55" i="22" s="1"/>
  <c r="L55" i="22"/>
  <c r="J55" i="22"/>
  <c r="M54" i="22"/>
  <c r="L54" i="22"/>
  <c r="K54" i="22"/>
  <c r="J54" i="22"/>
  <c r="M49" i="22"/>
  <c r="L49" i="22"/>
  <c r="K49" i="22"/>
  <c r="J49" i="22"/>
  <c r="J46" i="22" s="1"/>
  <c r="H16" i="24" s="1"/>
  <c r="M47" i="22"/>
  <c r="K47" i="22"/>
  <c r="M46" i="22"/>
  <c r="I16" i="24" s="1"/>
  <c r="L46" i="22"/>
  <c r="M44" i="22"/>
  <c r="L44" i="22"/>
  <c r="L43" i="22" s="1"/>
  <c r="K44" i="22"/>
  <c r="K43" i="22" s="1"/>
  <c r="J44" i="22"/>
  <c r="M43" i="22"/>
  <c r="I15" i="24" s="1"/>
  <c r="J43" i="22"/>
  <c r="H15" i="24" s="1"/>
  <c r="M41" i="22"/>
  <c r="L41" i="22"/>
  <c r="L40" i="22" s="1"/>
  <c r="K41" i="22"/>
  <c r="J41" i="22"/>
  <c r="J40" i="22" s="1"/>
  <c r="H14" i="24" s="1"/>
  <c r="M40" i="22"/>
  <c r="I14" i="24" s="1"/>
  <c r="K40" i="22"/>
  <c r="M38" i="22"/>
  <c r="L38" i="22"/>
  <c r="K38" i="22"/>
  <c r="J38" i="22"/>
  <c r="M33" i="22"/>
  <c r="L33" i="22"/>
  <c r="K33" i="22"/>
  <c r="J33" i="22"/>
  <c r="M29" i="22"/>
  <c r="L29" i="22"/>
  <c r="K29" i="22"/>
  <c r="J29" i="22"/>
  <c r="M27" i="22"/>
  <c r="L27" i="22"/>
  <c r="K27" i="22"/>
  <c r="J27" i="22"/>
  <c r="M26" i="22"/>
  <c r="M24" i="22" s="1"/>
  <c r="I13" i="24" s="1"/>
  <c r="L26" i="22"/>
  <c r="L24" i="22" s="1"/>
  <c r="K24" i="22"/>
  <c r="J24" i="22"/>
  <c r="H13" i="24" s="1"/>
  <c r="M22" i="22"/>
  <c r="L22" i="22"/>
  <c r="K22" i="22"/>
  <c r="J22" i="22"/>
  <c r="M21" i="22"/>
  <c r="L21" i="22"/>
  <c r="K21" i="22"/>
  <c r="J21" i="22"/>
  <c r="M18" i="22"/>
  <c r="L18" i="22"/>
  <c r="K18" i="22"/>
  <c r="J18" i="22"/>
  <c r="M16" i="22"/>
  <c r="M13" i="22" s="1"/>
  <c r="I12" i="24" s="1"/>
  <c r="L16" i="22"/>
  <c r="K16" i="22"/>
  <c r="K13" i="22" s="1"/>
  <c r="J16" i="22"/>
  <c r="J13" i="22" s="1"/>
  <c r="H12" i="24" s="1"/>
  <c r="M14" i="22"/>
  <c r="L14" i="22"/>
  <c r="L13" i="22"/>
  <c r="R11" i="22"/>
  <c r="K54" i="21"/>
  <c r="K47" i="21"/>
  <c r="K46" i="22" l="1"/>
  <c r="K12" i="22"/>
  <c r="L97" i="22"/>
  <c r="K102" i="22"/>
  <c r="K53" i="22" s="1"/>
  <c r="L143" i="22"/>
  <c r="M143" i="22"/>
  <c r="I19" i="24" s="1"/>
  <c r="M53" i="22"/>
  <c r="J53" i="22"/>
  <c r="H18" i="24" s="1"/>
  <c r="K182" i="22"/>
  <c r="I11" i="24"/>
  <c r="H11" i="24"/>
  <c r="J182" i="22"/>
  <c r="H22" i="24" s="1"/>
  <c r="M182" i="22"/>
  <c r="I22" i="24" s="1"/>
  <c r="I10" i="23"/>
  <c r="L12" i="22"/>
  <c r="J12" i="22"/>
  <c r="L53" i="22"/>
  <c r="L182" i="22"/>
  <c r="M12" i="22"/>
  <c r="J184" i="21"/>
  <c r="I22" i="11"/>
  <c r="I23" i="11"/>
  <c r="I24" i="11"/>
  <c r="I25" i="11"/>
  <c r="I26" i="11"/>
  <c r="I27" i="11"/>
  <c r="I28" i="11"/>
  <c r="I19" i="11"/>
  <c r="I20" i="11"/>
  <c r="I21" i="11"/>
  <c r="I18" i="11"/>
  <c r="I17" i="11"/>
  <c r="I16" i="11"/>
  <c r="I15" i="11"/>
  <c r="I14" i="11"/>
  <c r="J52" i="22" l="1"/>
  <c r="J11" i="22" s="1"/>
  <c r="S11" i="22" s="1"/>
  <c r="S6" i="22" s="1"/>
  <c r="K52" i="22"/>
  <c r="K11" i="22" s="1"/>
  <c r="H17" i="24"/>
  <c r="H10" i="24" s="1"/>
  <c r="M52" i="22"/>
  <c r="M11" i="22" s="1"/>
  <c r="I18" i="24"/>
  <c r="I17" i="24" s="1"/>
  <c r="I10" i="24" s="1"/>
  <c r="N10" i="24" s="1"/>
  <c r="L52" i="22"/>
  <c r="L11" i="22" s="1"/>
  <c r="T10" i="22"/>
  <c r="I10" i="11"/>
  <c r="I13" i="11"/>
  <c r="I12" i="11"/>
  <c r="I11" i="11"/>
  <c r="M159" i="21"/>
  <c r="L159" i="21"/>
  <c r="K159" i="21"/>
  <c r="J159" i="21"/>
  <c r="M116" i="21"/>
  <c r="L116" i="21"/>
  <c r="K116" i="21"/>
  <c r="J116" i="21"/>
  <c r="M138" i="21"/>
  <c r="L138" i="21"/>
  <c r="K138" i="21"/>
  <c r="J138" i="21"/>
  <c r="M134" i="21"/>
  <c r="L134" i="21"/>
  <c r="K134" i="21"/>
  <c r="J134" i="21"/>
  <c r="M121" i="21"/>
  <c r="L121" i="21"/>
  <c r="K121" i="21"/>
  <c r="J121" i="21"/>
  <c r="M123" i="21"/>
  <c r="L123" i="21"/>
  <c r="M107" i="21"/>
  <c r="L107" i="21"/>
  <c r="M105" i="21"/>
  <c r="L105" i="21"/>
  <c r="K105" i="21"/>
  <c r="J105" i="21"/>
  <c r="M106" i="21"/>
  <c r="L106" i="21"/>
  <c r="K106" i="21"/>
  <c r="M98" i="21"/>
  <c r="L98" i="21"/>
  <c r="K98" i="21"/>
  <c r="J98" i="21"/>
  <c r="M94" i="21"/>
  <c r="L94" i="21"/>
  <c r="K94" i="21"/>
  <c r="J94" i="21"/>
  <c r="M260" i="21"/>
  <c r="L260" i="21"/>
  <c r="K260" i="21"/>
  <c r="J260" i="21"/>
  <c r="M254" i="21"/>
  <c r="L254" i="21"/>
  <c r="K254" i="21"/>
  <c r="J254" i="21"/>
  <c r="M249" i="21"/>
  <c r="L249" i="21"/>
  <c r="K249" i="21"/>
  <c r="J249" i="21"/>
  <c r="M244" i="21"/>
  <c r="L244" i="21"/>
  <c r="K244" i="21"/>
  <c r="J244" i="21"/>
  <c r="M242" i="21"/>
  <c r="L242" i="21"/>
  <c r="K242" i="21"/>
  <c r="J242" i="21"/>
  <c r="M239" i="21"/>
  <c r="L239" i="21"/>
  <c r="K239" i="21"/>
  <c r="J239" i="21"/>
  <c r="M238" i="21"/>
  <c r="L238" i="21"/>
  <c r="K238" i="21"/>
  <c r="J238" i="21"/>
  <c r="M231" i="21"/>
  <c r="L231" i="21"/>
  <c r="K231" i="21"/>
  <c r="J231" i="21"/>
  <c r="M228" i="21"/>
  <c r="L228" i="21"/>
  <c r="K228" i="21"/>
  <c r="J228" i="21"/>
  <c r="M227" i="21"/>
  <c r="L227" i="21"/>
  <c r="K227" i="21"/>
  <c r="J227" i="21"/>
  <c r="M223" i="21"/>
  <c r="L223" i="21"/>
  <c r="K223" i="21"/>
  <c r="J223" i="21"/>
  <c r="M214" i="21"/>
  <c r="L214" i="21"/>
  <c r="K214" i="21"/>
  <c r="J214" i="21"/>
  <c r="K213" i="21"/>
  <c r="J213" i="21"/>
  <c r="M210" i="21"/>
  <c r="L210" i="21"/>
  <c r="K210" i="21"/>
  <c r="J210" i="21"/>
  <c r="M206" i="21"/>
  <c r="L206" i="21"/>
  <c r="K206" i="21"/>
  <c r="J206" i="21"/>
  <c r="M204" i="21"/>
  <c r="L204" i="21"/>
  <c r="L203" i="21" s="1"/>
  <c r="K204" i="21"/>
  <c r="J204" i="21"/>
  <c r="M203" i="21"/>
  <c r="K203" i="21"/>
  <c r="J203" i="21"/>
  <c r="M200" i="21"/>
  <c r="L200" i="21"/>
  <c r="K200" i="21"/>
  <c r="J200" i="21"/>
  <c r="M196" i="21"/>
  <c r="L196" i="21"/>
  <c r="K196" i="21"/>
  <c r="J196" i="21"/>
  <c r="M194" i="21"/>
  <c r="M193" i="21" s="1"/>
  <c r="M182" i="21" s="1"/>
  <c r="L194" i="21"/>
  <c r="L193" i="21" s="1"/>
  <c r="K193" i="21"/>
  <c r="J193" i="21"/>
  <c r="M190" i="21"/>
  <c r="L190" i="21"/>
  <c r="K190" i="21"/>
  <c r="J190" i="21"/>
  <c r="M188" i="21"/>
  <c r="L188" i="21"/>
  <c r="K188" i="21"/>
  <c r="J188" i="21"/>
  <c r="M187" i="21"/>
  <c r="L187" i="21"/>
  <c r="K187" i="21"/>
  <c r="J187" i="21"/>
  <c r="M183" i="21"/>
  <c r="L183" i="21"/>
  <c r="K183" i="21"/>
  <c r="J183" i="21"/>
  <c r="J182" i="21" s="1"/>
  <c r="K182" i="21"/>
  <c r="M178" i="21"/>
  <c r="L178" i="21"/>
  <c r="K178" i="21"/>
  <c r="J178" i="21"/>
  <c r="M176" i="21"/>
  <c r="L176" i="21"/>
  <c r="K176" i="21"/>
  <c r="J176" i="21"/>
  <c r="M174" i="21"/>
  <c r="L174" i="21"/>
  <c r="K174" i="21"/>
  <c r="J174" i="21"/>
  <c r="M169" i="21"/>
  <c r="L169" i="21"/>
  <c r="K169" i="21"/>
  <c r="J169" i="21"/>
  <c r="U165" i="21"/>
  <c r="M165" i="21"/>
  <c r="L165" i="21"/>
  <c r="K165" i="21"/>
  <c r="J165" i="21"/>
  <c r="M164" i="21"/>
  <c r="L164" i="21"/>
  <c r="K164" i="21"/>
  <c r="J164" i="21"/>
  <c r="K163" i="21"/>
  <c r="J163" i="21"/>
  <c r="M161" i="21"/>
  <c r="L161" i="21"/>
  <c r="K161" i="21"/>
  <c r="J161" i="21"/>
  <c r="M157" i="21"/>
  <c r="L157" i="21"/>
  <c r="K157" i="21"/>
  <c r="J157" i="21"/>
  <c r="M150" i="21"/>
  <c r="L150" i="21"/>
  <c r="K150" i="21"/>
  <c r="J150" i="21"/>
  <c r="M147" i="21"/>
  <c r="L147" i="21"/>
  <c r="K147" i="21"/>
  <c r="J147" i="21"/>
  <c r="M143" i="21"/>
  <c r="J143" i="21"/>
  <c r="M137" i="21"/>
  <c r="L137" i="21"/>
  <c r="K137" i="21"/>
  <c r="J137" i="21"/>
  <c r="M132" i="21"/>
  <c r="L132" i="21"/>
  <c r="K132" i="21"/>
  <c r="J132" i="21"/>
  <c r="M130" i="21"/>
  <c r="L130" i="21"/>
  <c r="K130" i="21"/>
  <c r="J130" i="21"/>
  <c r="I130" i="21"/>
  <c r="M128" i="21"/>
  <c r="L128" i="21"/>
  <c r="K128" i="21"/>
  <c r="J128" i="21"/>
  <c r="I128" i="21"/>
  <c r="M127" i="21"/>
  <c r="K127" i="21"/>
  <c r="K126" i="21" s="1"/>
  <c r="M126" i="21"/>
  <c r="L126" i="21"/>
  <c r="J126" i="21"/>
  <c r="I126" i="21"/>
  <c r="M120" i="21"/>
  <c r="L120" i="21"/>
  <c r="K120" i="21"/>
  <c r="J120" i="21"/>
  <c r="M115" i="21"/>
  <c r="L115" i="21"/>
  <c r="K115" i="21"/>
  <c r="J115" i="21"/>
  <c r="M112" i="21"/>
  <c r="L112" i="21"/>
  <c r="K112" i="21"/>
  <c r="J112" i="21"/>
  <c r="M103" i="21"/>
  <c r="M102" i="21" s="1"/>
  <c r="K103" i="21"/>
  <c r="K102" i="21" s="1"/>
  <c r="L102" i="21"/>
  <c r="J102" i="21"/>
  <c r="M99" i="21"/>
  <c r="L99" i="21"/>
  <c r="K99" i="21"/>
  <c r="K97" i="21" s="1"/>
  <c r="M97" i="21"/>
  <c r="L97" i="21"/>
  <c r="J97" i="21"/>
  <c r="M93" i="21"/>
  <c r="L93" i="21"/>
  <c r="K93" i="21"/>
  <c r="J93" i="21"/>
  <c r="M91" i="21"/>
  <c r="L91" i="21"/>
  <c r="K91" i="21"/>
  <c r="J91" i="21"/>
  <c r="M69" i="21"/>
  <c r="L69" i="21"/>
  <c r="K69" i="21"/>
  <c r="J69" i="21"/>
  <c r="M68" i="21"/>
  <c r="L68" i="21"/>
  <c r="K68" i="21"/>
  <c r="J68" i="21"/>
  <c r="U67" i="21"/>
  <c r="M67" i="21"/>
  <c r="L67" i="21"/>
  <c r="K67" i="21"/>
  <c r="J67" i="21"/>
  <c r="M66" i="21"/>
  <c r="L66" i="21"/>
  <c r="K66" i="21"/>
  <c r="J66" i="21"/>
  <c r="M63" i="21"/>
  <c r="L63" i="21"/>
  <c r="K63" i="21"/>
  <c r="J63" i="21"/>
  <c r="M59" i="21"/>
  <c r="L59" i="21"/>
  <c r="K59" i="21"/>
  <c r="J59" i="21"/>
  <c r="M58" i="21"/>
  <c r="M55" i="21" s="1"/>
  <c r="K58" i="21"/>
  <c r="K55" i="21" s="1"/>
  <c r="L55" i="21"/>
  <c r="J55" i="21"/>
  <c r="M54" i="21"/>
  <c r="L54" i="21"/>
  <c r="J54" i="21"/>
  <c r="M49" i="21"/>
  <c r="L49" i="21"/>
  <c r="K49" i="21"/>
  <c r="K46" i="21" s="1"/>
  <c r="J49" i="21"/>
  <c r="J46" i="21" s="1"/>
  <c r="M47" i="21"/>
  <c r="M46" i="21"/>
  <c r="L46" i="21"/>
  <c r="M44" i="21"/>
  <c r="M43" i="21" s="1"/>
  <c r="L44" i="21"/>
  <c r="K44" i="21"/>
  <c r="J44" i="21"/>
  <c r="L43" i="21"/>
  <c r="K43" i="21"/>
  <c r="J43" i="21"/>
  <c r="M41" i="21"/>
  <c r="L41" i="21"/>
  <c r="K41" i="21"/>
  <c r="J41" i="21"/>
  <c r="M40" i="21"/>
  <c r="L40" i="21"/>
  <c r="K40" i="21"/>
  <c r="J40" i="21"/>
  <c r="M38" i="21"/>
  <c r="L38" i="21"/>
  <c r="K38" i="21"/>
  <c r="J38" i="21"/>
  <c r="M33" i="21"/>
  <c r="L33" i="21"/>
  <c r="K33" i="21"/>
  <c r="J33" i="21"/>
  <c r="M29" i="21"/>
  <c r="L29" i="21"/>
  <c r="K29" i="21"/>
  <c r="J29" i="21"/>
  <c r="M27" i="21"/>
  <c r="L27" i="21"/>
  <c r="K27" i="21"/>
  <c r="J27" i="21"/>
  <c r="M26" i="21"/>
  <c r="M24" i="21" s="1"/>
  <c r="L26" i="21"/>
  <c r="L24" i="21" s="1"/>
  <c r="K24" i="21"/>
  <c r="J24" i="21"/>
  <c r="M22" i="21"/>
  <c r="L22" i="21"/>
  <c r="K22" i="21"/>
  <c r="J22" i="21"/>
  <c r="M21" i="21"/>
  <c r="L21" i="21"/>
  <c r="K21" i="21"/>
  <c r="J21" i="21"/>
  <c r="M18" i="21"/>
  <c r="L18" i="21"/>
  <c r="K18" i="21"/>
  <c r="J18" i="21"/>
  <c r="M16" i="21"/>
  <c r="L16" i="21"/>
  <c r="K16" i="21"/>
  <c r="K13" i="21" s="1"/>
  <c r="J16" i="21"/>
  <c r="J13" i="21" s="1"/>
  <c r="M14" i="21"/>
  <c r="L14" i="21"/>
  <c r="M13" i="21"/>
  <c r="L13" i="21"/>
  <c r="R11" i="21"/>
  <c r="M94" i="19"/>
  <c r="K94" i="19"/>
  <c r="M99" i="19"/>
  <c r="K99" i="19"/>
  <c r="U13" i="22" l="1"/>
  <c r="V10" i="22"/>
  <c r="U10" i="22"/>
  <c r="U11" i="22"/>
  <c r="T8" i="22"/>
  <c r="T11" i="22" s="1"/>
  <c r="L143" i="21"/>
  <c r="K143" i="21"/>
  <c r="J53" i="21"/>
  <c r="J52" i="21" s="1"/>
  <c r="M53" i="21"/>
  <c r="M52" i="21" s="1"/>
  <c r="K53" i="21"/>
  <c r="L53" i="21"/>
  <c r="J12" i="21"/>
  <c r="L182" i="21"/>
  <c r="L12" i="21"/>
  <c r="M12" i="21"/>
  <c r="K12" i="21"/>
  <c r="U12" i="22" l="1"/>
  <c r="K52" i="21"/>
  <c r="K11" i="21" s="1"/>
  <c r="T10" i="21" s="1"/>
  <c r="J11" i="21"/>
  <c r="S11" i="21" s="1"/>
  <c r="T8" i="21" s="1"/>
  <c r="M11" i="21"/>
  <c r="L52" i="21"/>
  <c r="L11" i="21" s="1"/>
  <c r="K54" i="19"/>
  <c r="K47" i="19"/>
  <c r="S6" i="21" l="1"/>
  <c r="T11" i="21"/>
  <c r="I28" i="20"/>
  <c r="I27" i="20"/>
  <c r="I26" i="20"/>
  <c r="I25" i="20"/>
  <c r="I24" i="20"/>
  <c r="I23" i="20"/>
  <c r="I22" i="20"/>
  <c r="I21" i="20"/>
  <c r="I20" i="20"/>
  <c r="I19" i="20"/>
  <c r="I16" i="20"/>
  <c r="I15" i="20"/>
  <c r="I14" i="20"/>
  <c r="I13" i="20"/>
  <c r="I12" i="20"/>
  <c r="H28" i="20"/>
  <c r="H27" i="20"/>
  <c r="H26" i="20"/>
  <c r="H25" i="20"/>
  <c r="H24" i="20"/>
  <c r="H23" i="20"/>
  <c r="H22" i="20"/>
  <c r="H21" i="20"/>
  <c r="H20" i="20"/>
  <c r="H19" i="20"/>
  <c r="H15" i="20"/>
  <c r="H14" i="20"/>
  <c r="H13" i="20"/>
  <c r="H12" i="20"/>
  <c r="M10" i="20"/>
  <c r="I11" i="20" l="1"/>
  <c r="M58" i="19" l="1"/>
  <c r="K58" i="19"/>
  <c r="T8" i="19"/>
  <c r="M55" i="19"/>
  <c r="L55" i="19"/>
  <c r="K55" i="19"/>
  <c r="J55" i="19"/>
  <c r="M54" i="19" l="1"/>
  <c r="M47" i="19"/>
  <c r="M103" i="19"/>
  <c r="K103" i="19"/>
  <c r="M106" i="19"/>
  <c r="K106" i="19"/>
  <c r="M127" i="19"/>
  <c r="K127" i="19"/>
  <c r="L260" i="19" l="1"/>
  <c r="L254" i="19"/>
  <c r="L249" i="19"/>
  <c r="L244" i="19"/>
  <c r="L242" i="19"/>
  <c r="L239" i="19"/>
  <c r="L238" i="19" s="1"/>
  <c r="L231" i="19"/>
  <c r="L228" i="19"/>
  <c r="L227" i="19"/>
  <c r="L223" i="19"/>
  <c r="L214" i="19"/>
  <c r="L210" i="19"/>
  <c r="L206" i="19"/>
  <c r="L204" i="19"/>
  <c r="L203" i="19"/>
  <c r="L200" i="19"/>
  <c r="L196" i="19"/>
  <c r="L194" i="19"/>
  <c r="L193" i="19"/>
  <c r="L190" i="19"/>
  <c r="L188" i="19"/>
  <c r="L187" i="19" s="1"/>
  <c r="L183" i="19"/>
  <c r="L182" i="19" s="1"/>
  <c r="L178" i="19"/>
  <c r="L176" i="19"/>
  <c r="L174" i="19"/>
  <c r="L169" i="19"/>
  <c r="L165" i="19"/>
  <c r="L164" i="19"/>
  <c r="L161" i="19"/>
  <c r="L157" i="19"/>
  <c r="L150" i="19"/>
  <c r="L147" i="19" s="1"/>
  <c r="L143" i="19" s="1"/>
  <c r="L141" i="19"/>
  <c r="L140" i="19"/>
  <c r="L137" i="19" s="1"/>
  <c r="L132" i="19"/>
  <c r="L130" i="19"/>
  <c r="L128" i="19"/>
  <c r="L126" i="19"/>
  <c r="L120" i="19"/>
  <c r="L115" i="19"/>
  <c r="L112" i="19"/>
  <c r="L110" i="19"/>
  <c r="L109" i="19"/>
  <c r="L102" i="19" s="1"/>
  <c r="L99" i="19"/>
  <c r="L97" i="19" s="1"/>
  <c r="L93" i="19"/>
  <c r="L91" i="19"/>
  <c r="L69" i="19"/>
  <c r="L68" i="19"/>
  <c r="L67" i="19"/>
  <c r="L66" i="19"/>
  <c r="L63" i="19"/>
  <c r="L59" i="19"/>
  <c r="L54" i="19"/>
  <c r="L49" i="19"/>
  <c r="L46" i="19" s="1"/>
  <c r="L44" i="19"/>
  <c r="L43" i="19" s="1"/>
  <c r="L41" i="19"/>
  <c r="L40" i="19" s="1"/>
  <c r="L38" i="19"/>
  <c r="L33" i="19"/>
  <c r="L29" i="19"/>
  <c r="L27" i="19"/>
  <c r="L26" i="19"/>
  <c r="L24" i="19" s="1"/>
  <c r="L22" i="19"/>
  <c r="L13" i="19" s="1"/>
  <c r="L12" i="19" s="1"/>
  <c r="L21" i="19"/>
  <c r="L18" i="19"/>
  <c r="L16" i="19"/>
  <c r="L14" i="19"/>
  <c r="J260" i="19"/>
  <c r="J254" i="19"/>
  <c r="J249" i="19"/>
  <c r="J244" i="19"/>
  <c r="J238" i="19" s="1"/>
  <c r="J242" i="19"/>
  <c r="J239" i="19"/>
  <c r="J231" i="19"/>
  <c r="J228" i="19"/>
  <c r="J227" i="19" s="1"/>
  <c r="J223" i="19"/>
  <c r="J214" i="19"/>
  <c r="J213" i="19"/>
  <c r="J210" i="19"/>
  <c r="J206" i="19"/>
  <c r="J204" i="19"/>
  <c r="J203" i="19" s="1"/>
  <c r="J200" i="19"/>
  <c r="J196" i="19"/>
  <c r="J193" i="19"/>
  <c r="J190" i="19"/>
  <c r="J188" i="19"/>
  <c r="J187" i="19"/>
  <c r="J183" i="19"/>
  <c r="J178" i="19"/>
  <c r="J176" i="19"/>
  <c r="J174" i="19"/>
  <c r="J169" i="19"/>
  <c r="J165" i="19"/>
  <c r="J164" i="19"/>
  <c r="J163" i="19"/>
  <c r="J161" i="19"/>
  <c r="J157" i="19"/>
  <c r="J150" i="19"/>
  <c r="J147" i="19"/>
  <c r="J143" i="19" s="1"/>
  <c r="J141" i="19"/>
  <c r="J140" i="19"/>
  <c r="J137" i="19"/>
  <c r="J132" i="19"/>
  <c r="J130" i="19"/>
  <c r="J128" i="19"/>
  <c r="J126" i="19"/>
  <c r="J120" i="19"/>
  <c r="J115" i="19"/>
  <c r="J112" i="19"/>
  <c r="J110" i="19"/>
  <c r="J109" i="19"/>
  <c r="J102" i="19" s="1"/>
  <c r="J97" i="19"/>
  <c r="J93" i="19"/>
  <c r="J91" i="19"/>
  <c r="J69" i="19"/>
  <c r="J68" i="19"/>
  <c r="J67" i="19"/>
  <c r="J66" i="19"/>
  <c r="J63" i="19"/>
  <c r="J59" i="19"/>
  <c r="J54" i="19"/>
  <c r="J49" i="19"/>
  <c r="J46" i="19" s="1"/>
  <c r="J44" i="19"/>
  <c r="J43" i="19" s="1"/>
  <c r="J41" i="19"/>
  <c r="J40" i="19" s="1"/>
  <c r="J38" i="19"/>
  <c r="J33" i="19"/>
  <c r="J29" i="19"/>
  <c r="J24" i="19" s="1"/>
  <c r="J27" i="19"/>
  <c r="J22" i="19"/>
  <c r="J21" i="19"/>
  <c r="J18" i="19"/>
  <c r="J16" i="19"/>
  <c r="J13" i="19" s="1"/>
  <c r="M260" i="19"/>
  <c r="K260" i="19"/>
  <c r="M254" i="19"/>
  <c r="K254" i="19"/>
  <c r="M249" i="19"/>
  <c r="K249" i="19"/>
  <c r="M244" i="19"/>
  <c r="K244" i="19"/>
  <c r="M242" i="19"/>
  <c r="K242" i="19"/>
  <c r="M239" i="19"/>
  <c r="K239" i="19"/>
  <c r="K238" i="19" s="1"/>
  <c r="M238" i="19"/>
  <c r="M231" i="19"/>
  <c r="K231" i="19"/>
  <c r="M228" i="19"/>
  <c r="M227" i="19" s="1"/>
  <c r="K228" i="19"/>
  <c r="K227" i="19"/>
  <c r="M223" i="19"/>
  <c r="K223" i="19"/>
  <c r="M214" i="19"/>
  <c r="K214" i="19"/>
  <c r="K213" i="19"/>
  <c r="M210" i="19"/>
  <c r="K210" i="19"/>
  <c r="M206" i="19"/>
  <c r="K206" i="19"/>
  <c r="M204" i="19"/>
  <c r="K204" i="19"/>
  <c r="M203" i="19"/>
  <c r="K203" i="19"/>
  <c r="M200" i="19"/>
  <c r="K200" i="19"/>
  <c r="M196" i="19"/>
  <c r="K196" i="19"/>
  <c r="M194" i="19"/>
  <c r="M193" i="19" s="1"/>
  <c r="K193" i="19"/>
  <c r="M190" i="19"/>
  <c r="K190" i="19"/>
  <c r="M188" i="19"/>
  <c r="K188" i="19"/>
  <c r="K187" i="19" s="1"/>
  <c r="M187" i="19"/>
  <c r="K183" i="19"/>
  <c r="K182" i="19" s="1"/>
  <c r="M183" i="19"/>
  <c r="M178" i="19"/>
  <c r="K178" i="19"/>
  <c r="M176" i="19"/>
  <c r="K176" i="19"/>
  <c r="K174" i="19" s="1"/>
  <c r="M174" i="19"/>
  <c r="M169" i="19"/>
  <c r="K169" i="19"/>
  <c r="U165" i="19"/>
  <c r="M165" i="19"/>
  <c r="K165" i="19"/>
  <c r="M164" i="19"/>
  <c r="K164" i="19"/>
  <c r="K163" i="19"/>
  <c r="M161" i="19"/>
  <c r="K161" i="19"/>
  <c r="M157" i="19"/>
  <c r="K157" i="19"/>
  <c r="M150" i="19"/>
  <c r="K150" i="19"/>
  <c r="K147" i="19" s="1"/>
  <c r="K143" i="19" s="1"/>
  <c r="M147" i="19"/>
  <c r="M143" i="19" s="1"/>
  <c r="M141" i="19"/>
  <c r="K141" i="19"/>
  <c r="M140" i="19"/>
  <c r="K140" i="19"/>
  <c r="K137" i="19" s="1"/>
  <c r="M137" i="19"/>
  <c r="M132" i="19"/>
  <c r="K132" i="19"/>
  <c r="M130" i="19"/>
  <c r="K130" i="19"/>
  <c r="I130" i="19"/>
  <c r="M128" i="19"/>
  <c r="K128" i="19"/>
  <c r="I128" i="19"/>
  <c r="M126" i="19"/>
  <c r="K126" i="19"/>
  <c r="I126" i="19"/>
  <c r="M120" i="19"/>
  <c r="K120" i="19"/>
  <c r="M115" i="19"/>
  <c r="K115" i="19"/>
  <c r="M112" i="19"/>
  <c r="K112" i="19"/>
  <c r="M110" i="19"/>
  <c r="K110" i="19"/>
  <c r="M109" i="19"/>
  <c r="K109" i="19"/>
  <c r="K102" i="19" s="1"/>
  <c r="M102" i="19"/>
  <c r="M97" i="19"/>
  <c r="K97" i="19"/>
  <c r="M93" i="19"/>
  <c r="K93" i="19"/>
  <c r="M91" i="19"/>
  <c r="K91" i="19"/>
  <c r="M69" i="19"/>
  <c r="K69" i="19"/>
  <c r="M68" i="19"/>
  <c r="K68" i="19"/>
  <c r="U67" i="19"/>
  <c r="M67" i="19"/>
  <c r="K67" i="19"/>
  <c r="M66" i="19"/>
  <c r="K66" i="19"/>
  <c r="M63" i="19"/>
  <c r="K63" i="19"/>
  <c r="M59" i="19"/>
  <c r="K59" i="19"/>
  <c r="M49" i="19"/>
  <c r="K49" i="19"/>
  <c r="M46" i="19"/>
  <c r="K46" i="19"/>
  <c r="H16" i="20" s="1"/>
  <c r="H11" i="20" s="1"/>
  <c r="M44" i="19"/>
  <c r="K44" i="19"/>
  <c r="M43" i="19"/>
  <c r="K43" i="19"/>
  <c r="M41" i="19"/>
  <c r="K41" i="19"/>
  <c r="M40" i="19"/>
  <c r="K40" i="19"/>
  <c r="M38" i="19"/>
  <c r="K38" i="19"/>
  <c r="M33" i="19"/>
  <c r="K33" i="19"/>
  <c r="M29" i="19"/>
  <c r="K29" i="19"/>
  <c r="M27" i="19"/>
  <c r="M24" i="19" s="1"/>
  <c r="M12" i="19" s="1"/>
  <c r="K27" i="19"/>
  <c r="M26" i="19"/>
  <c r="K24" i="19"/>
  <c r="M22" i="19"/>
  <c r="K22" i="19"/>
  <c r="M21" i="19"/>
  <c r="K21" i="19"/>
  <c r="M18" i="19"/>
  <c r="K18" i="19"/>
  <c r="M16" i="19"/>
  <c r="K16" i="19"/>
  <c r="K13" i="19" s="1"/>
  <c r="M14" i="19"/>
  <c r="M13" i="19"/>
  <c r="R11" i="19"/>
  <c r="K12" i="19" l="1"/>
  <c r="M53" i="19"/>
  <c r="I18" i="20" s="1"/>
  <c r="I17" i="20" s="1"/>
  <c r="I10" i="20" s="1"/>
  <c r="N10" i="20" s="1"/>
  <c r="L53" i="19"/>
  <c r="L52" i="19" s="1"/>
  <c r="L11" i="19" s="1"/>
  <c r="J12" i="19"/>
  <c r="J53" i="19"/>
  <c r="J52" i="19" s="1"/>
  <c r="J182" i="19"/>
  <c r="K53" i="19"/>
  <c r="M182" i="19"/>
  <c r="Q12" i="17"/>
  <c r="J12" i="18"/>
  <c r="J11" i="18" s="1"/>
  <c r="K40" i="18"/>
  <c r="J40" i="18"/>
  <c r="K36" i="18"/>
  <c r="J36" i="18"/>
  <c r="K34" i="18"/>
  <c r="K33" i="18" s="1"/>
  <c r="J34" i="18"/>
  <c r="J33" i="18" s="1"/>
  <c r="K30" i="18"/>
  <c r="J30" i="18"/>
  <c r="K26" i="18"/>
  <c r="J26" i="18"/>
  <c r="K24" i="18"/>
  <c r="K23" i="18"/>
  <c r="J23" i="18"/>
  <c r="K20" i="18"/>
  <c r="J20" i="18"/>
  <c r="K18" i="18"/>
  <c r="K17" i="18" s="1"/>
  <c r="K12" i="18" s="1"/>
  <c r="K11" i="18" s="1"/>
  <c r="J18" i="18"/>
  <c r="J17" i="18" s="1"/>
  <c r="K14" i="18"/>
  <c r="K13" i="18" s="1"/>
  <c r="J14" i="18"/>
  <c r="J13" i="18" s="1"/>
  <c r="P11" i="18"/>
  <c r="K181" i="17"/>
  <c r="J181" i="17"/>
  <c r="K228" i="17"/>
  <c r="J228" i="17"/>
  <c r="K222" i="17"/>
  <c r="J222" i="17"/>
  <c r="K217" i="17"/>
  <c r="J217" i="17"/>
  <c r="K212" i="17"/>
  <c r="J212" i="17"/>
  <c r="K210" i="17"/>
  <c r="J210" i="17"/>
  <c r="K207" i="17"/>
  <c r="K206" i="17" s="1"/>
  <c r="J207" i="17"/>
  <c r="J206" i="17" s="1"/>
  <c r="K199" i="17"/>
  <c r="J199" i="17"/>
  <c r="K196" i="17"/>
  <c r="K195" i="17" s="1"/>
  <c r="J196" i="17"/>
  <c r="J195" i="17" s="1"/>
  <c r="K191" i="17"/>
  <c r="J191" i="17"/>
  <c r="K183" i="17"/>
  <c r="J183" i="17"/>
  <c r="J182" i="17"/>
  <c r="K177" i="17"/>
  <c r="J177" i="17"/>
  <c r="K175" i="17"/>
  <c r="J175" i="17"/>
  <c r="K168" i="17"/>
  <c r="J168" i="17"/>
  <c r="K164" i="17"/>
  <c r="S164" i="17" s="1"/>
  <c r="J164" i="17"/>
  <c r="K163" i="17"/>
  <c r="J163" i="17"/>
  <c r="J162" i="17"/>
  <c r="K160" i="17"/>
  <c r="J160" i="17"/>
  <c r="K156" i="17"/>
  <c r="J156" i="17"/>
  <c r="K149" i="17"/>
  <c r="K146" i="17" s="1"/>
  <c r="J149" i="17"/>
  <c r="J146" i="17" s="1"/>
  <c r="K140" i="17"/>
  <c r="J140" i="17"/>
  <c r="K139" i="17"/>
  <c r="J139" i="17"/>
  <c r="K131" i="17"/>
  <c r="J131" i="17"/>
  <c r="K129" i="17"/>
  <c r="J129" i="17"/>
  <c r="I129" i="17"/>
  <c r="K127" i="17"/>
  <c r="J127" i="17"/>
  <c r="I127" i="17"/>
  <c r="K125" i="17"/>
  <c r="J125" i="17"/>
  <c r="I125" i="17"/>
  <c r="K119" i="17"/>
  <c r="J119" i="17"/>
  <c r="K114" i="17"/>
  <c r="J114" i="17"/>
  <c r="K111" i="17"/>
  <c r="J111" i="17"/>
  <c r="K109" i="17"/>
  <c r="J109" i="17"/>
  <c r="K108" i="17"/>
  <c r="K101" i="17" s="1"/>
  <c r="J108" i="17"/>
  <c r="K98" i="17"/>
  <c r="K96" i="17" s="1"/>
  <c r="J96" i="17"/>
  <c r="K92" i="17"/>
  <c r="J92" i="17"/>
  <c r="K90" i="17"/>
  <c r="J90" i="17"/>
  <c r="K68" i="17"/>
  <c r="J68" i="17"/>
  <c r="K67" i="17"/>
  <c r="J67" i="17"/>
  <c r="S66" i="17"/>
  <c r="K66" i="17"/>
  <c r="J66" i="17"/>
  <c r="K65" i="17"/>
  <c r="J65" i="17"/>
  <c r="K62" i="17"/>
  <c r="J62" i="17"/>
  <c r="K58" i="17"/>
  <c r="J58" i="17"/>
  <c r="K55" i="17"/>
  <c r="J55" i="17"/>
  <c r="K54" i="17"/>
  <c r="J54" i="17"/>
  <c r="K49" i="17"/>
  <c r="K46" i="17" s="1"/>
  <c r="J49" i="17"/>
  <c r="J46" i="17" s="1"/>
  <c r="K44" i="17"/>
  <c r="K43" i="17" s="1"/>
  <c r="J44" i="17"/>
  <c r="J43" i="17" s="1"/>
  <c r="K41" i="17"/>
  <c r="J41" i="17"/>
  <c r="J40" i="17" s="1"/>
  <c r="K40" i="17"/>
  <c r="K38" i="17"/>
  <c r="J38" i="17"/>
  <c r="K33" i="17"/>
  <c r="J33" i="17"/>
  <c r="K29" i="17"/>
  <c r="J29" i="17"/>
  <c r="K27" i="17"/>
  <c r="J27" i="17"/>
  <c r="J24" i="17" s="1"/>
  <c r="K26" i="17"/>
  <c r="K22" i="17"/>
  <c r="J22" i="17"/>
  <c r="K21" i="17"/>
  <c r="J21" i="17"/>
  <c r="K18" i="17"/>
  <c r="J18" i="17"/>
  <c r="K16" i="17"/>
  <c r="J16" i="17"/>
  <c r="K14" i="17"/>
  <c r="P11" i="17"/>
  <c r="K52" i="19" l="1"/>
  <c r="K11" i="19" s="1"/>
  <c r="T11" i="19" s="1"/>
  <c r="H18" i="20"/>
  <c r="H17" i="20" s="1"/>
  <c r="H10" i="20" s="1"/>
  <c r="M52" i="19"/>
  <c r="M11" i="19" s="1"/>
  <c r="J11" i="19"/>
  <c r="S11" i="19" s="1"/>
  <c r="S6" i="19" s="1"/>
  <c r="K136" i="17"/>
  <c r="K142" i="17"/>
  <c r="J173" i="17"/>
  <c r="K24" i="17"/>
  <c r="K173" i="17"/>
  <c r="J13" i="17"/>
  <c r="J101" i="17"/>
  <c r="J53" i="17" s="1"/>
  <c r="J52" i="17" s="1"/>
  <c r="K13" i="17"/>
  <c r="K12" i="17" s="1"/>
  <c r="J136" i="17"/>
  <c r="J142" i="17"/>
  <c r="J12" i="17"/>
  <c r="K53" i="17"/>
  <c r="T10" i="19" l="1"/>
  <c r="Q11" i="18"/>
  <c r="K52" i="17"/>
  <c r="K11" i="17" s="1"/>
  <c r="Q11" i="17" s="1"/>
  <c r="J11" i="17"/>
  <c r="M181" i="14" l="1"/>
  <c r="L181" i="14"/>
  <c r="M209" i="14"/>
  <c r="L209" i="14"/>
  <c r="M205" i="14"/>
  <c r="L205" i="14"/>
  <c r="M203" i="14"/>
  <c r="M202" i="14"/>
  <c r="L203" i="14"/>
  <c r="L202" i="14" s="1"/>
  <c r="M199" i="14"/>
  <c r="L199" i="14"/>
  <c r="M195" i="14"/>
  <c r="L195" i="14"/>
  <c r="M193" i="14"/>
  <c r="M192" i="14"/>
  <c r="L192" i="14"/>
  <c r="L189" i="14"/>
  <c r="M189" i="14"/>
  <c r="M187" i="14"/>
  <c r="M186" i="14"/>
  <c r="L187" i="14"/>
  <c r="L186" i="14" s="1"/>
  <c r="L182" i="14"/>
  <c r="M182" i="14"/>
  <c r="M183" i="14"/>
  <c r="L183" i="14"/>
  <c r="J182" i="14"/>
  <c r="K259" i="14"/>
  <c r="J259" i="14"/>
  <c r="K253" i="14"/>
  <c r="J253" i="14"/>
  <c r="K248" i="14"/>
  <c r="J248" i="14"/>
  <c r="K243" i="14"/>
  <c r="J243" i="14"/>
  <c r="K241" i="14"/>
  <c r="J241" i="14"/>
  <c r="K238" i="14"/>
  <c r="K237" i="14" s="1"/>
  <c r="J238" i="14"/>
  <c r="K230" i="14"/>
  <c r="J230" i="14"/>
  <c r="K227" i="14"/>
  <c r="K226" i="14" s="1"/>
  <c r="J227" i="14"/>
  <c r="J226" i="14"/>
  <c r="K222" i="14"/>
  <c r="J222" i="14"/>
  <c r="K213" i="14"/>
  <c r="J213" i="14"/>
  <c r="J212" i="14"/>
  <c r="K209" i="14"/>
  <c r="J209" i="14"/>
  <c r="K205" i="14"/>
  <c r="J205" i="14"/>
  <c r="J202" i="14"/>
  <c r="K202" i="14"/>
  <c r="K199" i="14"/>
  <c r="J199" i="14"/>
  <c r="K195" i="14"/>
  <c r="J195" i="14"/>
  <c r="K192" i="14"/>
  <c r="J192" i="14"/>
  <c r="K189" i="14"/>
  <c r="J189" i="14"/>
  <c r="K186" i="14"/>
  <c r="J186" i="14"/>
  <c r="K182" i="14"/>
  <c r="K177" i="14"/>
  <c r="J177" i="14"/>
  <c r="K175" i="14"/>
  <c r="K173" i="14" s="1"/>
  <c r="J175" i="14"/>
  <c r="J173" i="14" s="1"/>
  <c r="K168" i="14"/>
  <c r="J168" i="14"/>
  <c r="K164" i="14"/>
  <c r="T164" i="14" s="1"/>
  <c r="J164" i="14"/>
  <c r="K163" i="14"/>
  <c r="J163" i="14"/>
  <c r="J162" i="14"/>
  <c r="K160" i="14"/>
  <c r="J160" i="14"/>
  <c r="K156" i="14"/>
  <c r="J156" i="14"/>
  <c r="K149" i="14"/>
  <c r="K146" i="14" s="1"/>
  <c r="J149" i="14"/>
  <c r="J146" i="14" s="1"/>
  <c r="K140" i="14"/>
  <c r="J140" i="14"/>
  <c r="K139" i="14"/>
  <c r="J139" i="14"/>
  <c r="K131" i="14"/>
  <c r="J131" i="14"/>
  <c r="K129" i="14"/>
  <c r="J129" i="14"/>
  <c r="I129" i="14"/>
  <c r="K127" i="14"/>
  <c r="J127" i="14"/>
  <c r="I127" i="14"/>
  <c r="K125" i="14"/>
  <c r="J125" i="14"/>
  <c r="I125" i="14"/>
  <c r="K119" i="14"/>
  <c r="J119" i="14"/>
  <c r="K114" i="14"/>
  <c r="J114" i="14"/>
  <c r="K111" i="14"/>
  <c r="J111" i="14"/>
  <c r="K109" i="14"/>
  <c r="J109" i="14"/>
  <c r="K108" i="14"/>
  <c r="J108" i="14"/>
  <c r="J101" i="14" s="1"/>
  <c r="K98" i="14"/>
  <c r="K96" i="14" s="1"/>
  <c r="J96" i="14"/>
  <c r="K92" i="14"/>
  <c r="J92" i="14"/>
  <c r="K90" i="14"/>
  <c r="J90" i="14"/>
  <c r="K68" i="14"/>
  <c r="J68" i="14"/>
  <c r="K67" i="14"/>
  <c r="J67" i="14"/>
  <c r="T66" i="14"/>
  <c r="K66" i="14"/>
  <c r="J66" i="14"/>
  <c r="K65" i="14"/>
  <c r="J65" i="14"/>
  <c r="K62" i="14"/>
  <c r="J62" i="14"/>
  <c r="K58" i="14"/>
  <c r="J58" i="14"/>
  <c r="K55" i="14"/>
  <c r="J55" i="14"/>
  <c r="K54" i="14"/>
  <c r="J54" i="14"/>
  <c r="K49" i="14"/>
  <c r="K46" i="14" s="1"/>
  <c r="J49" i="14"/>
  <c r="J46" i="14" s="1"/>
  <c r="K44" i="14"/>
  <c r="K43" i="14" s="1"/>
  <c r="J44" i="14"/>
  <c r="J43" i="14" s="1"/>
  <c r="K41" i="14"/>
  <c r="K40" i="14" s="1"/>
  <c r="J41" i="14"/>
  <c r="J40" i="14" s="1"/>
  <c r="K38" i="14"/>
  <c r="J38" i="14"/>
  <c r="K33" i="14"/>
  <c r="J33" i="14"/>
  <c r="K29" i="14"/>
  <c r="J29" i="14"/>
  <c r="K27" i="14"/>
  <c r="K24" i="14" s="1"/>
  <c r="J27" i="14"/>
  <c r="K26" i="14"/>
  <c r="K22" i="14"/>
  <c r="J22" i="14"/>
  <c r="K21" i="14"/>
  <c r="J21" i="14"/>
  <c r="K18" i="14"/>
  <c r="J18" i="14"/>
  <c r="K16" i="14"/>
  <c r="J16" i="14"/>
  <c r="J13" i="14" s="1"/>
  <c r="K14" i="14"/>
  <c r="Q11" i="14"/>
  <c r="K181" i="14" l="1"/>
  <c r="J181" i="14"/>
  <c r="K13" i="14"/>
  <c r="K101" i="14"/>
  <c r="J136" i="14"/>
  <c r="J53" i="14" s="1"/>
  <c r="J142" i="14"/>
  <c r="J24" i="14"/>
  <c r="J12" i="14" s="1"/>
  <c r="K53" i="14"/>
  <c r="K136" i="14"/>
  <c r="K142" i="14"/>
  <c r="J237" i="14"/>
  <c r="K12" i="14"/>
  <c r="O248" i="12"/>
  <c r="N248" i="12"/>
  <c r="M248" i="12"/>
  <c r="O242" i="12"/>
  <c r="N242" i="12"/>
  <c r="M242" i="12"/>
  <c r="O212" i="12"/>
  <c r="N212" i="12"/>
  <c r="M212" i="12"/>
  <c r="O211" i="12"/>
  <c r="N211" i="12"/>
  <c r="M211" i="12"/>
  <c r="O205" i="12"/>
  <c r="N205" i="12"/>
  <c r="M205" i="12"/>
  <c r="O206" i="12"/>
  <c r="N206" i="12"/>
  <c r="M206" i="12"/>
  <c r="O167" i="12"/>
  <c r="N167" i="12"/>
  <c r="M167" i="12"/>
  <c r="O162" i="12"/>
  <c r="N162" i="12"/>
  <c r="M162" i="12"/>
  <c r="O159" i="12"/>
  <c r="N159" i="12"/>
  <c r="M159" i="12"/>
  <c r="O133" i="12"/>
  <c r="O134" i="12"/>
  <c r="O135" i="12"/>
  <c r="O136" i="12"/>
  <c r="O137" i="12"/>
  <c r="O138" i="12"/>
  <c r="O139" i="12"/>
  <c r="O140" i="12"/>
  <c r="O141" i="12"/>
  <c r="O142" i="12"/>
  <c r="O143" i="12"/>
  <c r="O144" i="12"/>
  <c r="O145" i="12"/>
  <c r="O146" i="12"/>
  <c r="O147" i="12"/>
  <c r="O148" i="12"/>
  <c r="O149" i="12"/>
  <c r="O132" i="12"/>
  <c r="N133" i="12"/>
  <c r="N134" i="12"/>
  <c r="N135" i="12"/>
  <c r="N136" i="12"/>
  <c r="N137" i="12"/>
  <c r="N138" i="12"/>
  <c r="N139" i="12"/>
  <c r="N140" i="12"/>
  <c r="N141" i="12"/>
  <c r="N142" i="12"/>
  <c r="N143" i="12"/>
  <c r="N144" i="12"/>
  <c r="N145" i="12"/>
  <c r="N146" i="12"/>
  <c r="N147" i="12"/>
  <c r="N148" i="12"/>
  <c r="N149" i="12"/>
  <c r="N132" i="12"/>
  <c r="M134" i="12"/>
  <c r="M135" i="12"/>
  <c r="M136" i="12"/>
  <c r="M137" i="12"/>
  <c r="M138" i="12"/>
  <c r="M139" i="12"/>
  <c r="M140" i="12"/>
  <c r="M141" i="12"/>
  <c r="M142" i="12"/>
  <c r="M143" i="12"/>
  <c r="M144" i="12"/>
  <c r="M145" i="12"/>
  <c r="M146" i="12"/>
  <c r="M147" i="12"/>
  <c r="M148" i="12"/>
  <c r="M149" i="12"/>
  <c r="M133" i="12"/>
  <c r="M132" i="12"/>
  <c r="O53" i="12"/>
  <c r="N53" i="12"/>
  <c r="M53" i="12"/>
  <c r="O14" i="12"/>
  <c r="K52" i="14" l="1"/>
  <c r="K11" i="14" s="1"/>
  <c r="R11" i="14" s="1"/>
  <c r="J52" i="14"/>
  <c r="J11" i="14" s="1"/>
  <c r="K244" i="13"/>
  <c r="J244" i="13"/>
  <c r="K238" i="13"/>
  <c r="J238" i="13"/>
  <c r="K233" i="13"/>
  <c r="J233" i="13"/>
  <c r="K228" i="13"/>
  <c r="J228" i="13"/>
  <c r="K226" i="13"/>
  <c r="J226" i="13"/>
  <c r="K223" i="13"/>
  <c r="K222" i="13" s="1"/>
  <c r="J223" i="13"/>
  <c r="J222" i="13" s="1"/>
  <c r="K215" i="13"/>
  <c r="J215" i="13"/>
  <c r="K212" i="13"/>
  <c r="J212" i="13"/>
  <c r="K211" i="13"/>
  <c r="J211" i="13"/>
  <c r="K207" i="13"/>
  <c r="J207" i="13"/>
  <c r="K198" i="13"/>
  <c r="J198" i="13"/>
  <c r="J197" i="13"/>
  <c r="K194" i="13"/>
  <c r="J194" i="13"/>
  <c r="K190" i="13"/>
  <c r="J190" i="13"/>
  <c r="K188" i="13"/>
  <c r="J188" i="13"/>
  <c r="J187" i="13" s="1"/>
  <c r="K187" i="13"/>
  <c r="K184" i="13"/>
  <c r="J184" i="13"/>
  <c r="K180" i="13"/>
  <c r="J180" i="13"/>
  <c r="K178" i="13"/>
  <c r="K177" i="13"/>
  <c r="J177" i="13"/>
  <c r="K174" i="13"/>
  <c r="J174" i="13"/>
  <c r="K172" i="13"/>
  <c r="K171" i="13" s="1"/>
  <c r="J172" i="13"/>
  <c r="J171" i="13" s="1"/>
  <c r="K168" i="13"/>
  <c r="K167" i="13" s="1"/>
  <c r="J168" i="13"/>
  <c r="J167" i="13" s="1"/>
  <c r="K162" i="13"/>
  <c r="J162" i="13"/>
  <c r="K160" i="13"/>
  <c r="K158" i="13" s="1"/>
  <c r="J160" i="13"/>
  <c r="J158" i="13" s="1"/>
  <c r="K153" i="13"/>
  <c r="J153" i="13"/>
  <c r="K149" i="13"/>
  <c r="Q149" i="13" s="1"/>
  <c r="J149" i="13"/>
  <c r="K148" i="13"/>
  <c r="J148" i="13"/>
  <c r="J147" i="13"/>
  <c r="K145" i="13"/>
  <c r="J145" i="13"/>
  <c r="K144" i="13"/>
  <c r="K142" i="13"/>
  <c r="J142" i="13"/>
  <c r="K135" i="13"/>
  <c r="K132" i="13" s="1"/>
  <c r="K128" i="13" s="1"/>
  <c r="J135" i="13"/>
  <c r="J132" i="13"/>
  <c r="J128" i="13" s="1"/>
  <c r="K125" i="13"/>
  <c r="K124" i="13"/>
  <c r="J124" i="13"/>
  <c r="K123" i="13"/>
  <c r="K121" i="13"/>
  <c r="J121" i="13"/>
  <c r="K119" i="13"/>
  <c r="J119" i="13"/>
  <c r="I119" i="13"/>
  <c r="K117" i="13"/>
  <c r="J117" i="13"/>
  <c r="I117" i="13"/>
  <c r="K115" i="13"/>
  <c r="J115" i="13"/>
  <c r="I115" i="13"/>
  <c r="K114" i="13"/>
  <c r="K112" i="13"/>
  <c r="K111" i="13"/>
  <c r="J111" i="13"/>
  <c r="J108" i="13"/>
  <c r="K107" i="13"/>
  <c r="J107" i="13"/>
  <c r="K104" i="13"/>
  <c r="J104" i="13"/>
  <c r="K103" i="13"/>
  <c r="K102" i="13"/>
  <c r="K98" i="13" s="1"/>
  <c r="J101" i="13"/>
  <c r="J98" i="13" s="1"/>
  <c r="K96" i="13"/>
  <c r="K94" i="13" s="1"/>
  <c r="J95" i="13"/>
  <c r="J94" i="13" s="1"/>
  <c r="J92" i="13"/>
  <c r="J91" i="13" s="1"/>
  <c r="K91" i="13"/>
  <c r="K89" i="13"/>
  <c r="J89" i="13"/>
  <c r="K67" i="13"/>
  <c r="J67" i="13"/>
  <c r="K66" i="13"/>
  <c r="J66" i="13"/>
  <c r="Q65" i="13"/>
  <c r="K65" i="13"/>
  <c r="J65" i="13"/>
  <c r="K64" i="13"/>
  <c r="J64" i="13"/>
  <c r="K61" i="13"/>
  <c r="J61" i="13"/>
  <c r="K57" i="13"/>
  <c r="J57" i="13"/>
  <c r="K54" i="13"/>
  <c r="J54" i="13"/>
  <c r="K53" i="13"/>
  <c r="J53" i="13"/>
  <c r="K48" i="13"/>
  <c r="J48" i="13"/>
  <c r="K45" i="13"/>
  <c r="J45" i="13"/>
  <c r="K43" i="13"/>
  <c r="J43" i="13"/>
  <c r="K42" i="13"/>
  <c r="J42" i="13"/>
  <c r="K40" i="13"/>
  <c r="J40" i="13"/>
  <c r="K39" i="13"/>
  <c r="J39" i="13"/>
  <c r="J37" i="13"/>
  <c r="K32" i="13"/>
  <c r="J32" i="13"/>
  <c r="K29" i="13"/>
  <c r="J29" i="13"/>
  <c r="K27" i="13"/>
  <c r="J27" i="13"/>
  <c r="J24" i="13" s="1"/>
  <c r="K24" i="13"/>
  <c r="K22" i="13"/>
  <c r="J22" i="13"/>
  <c r="K21" i="13"/>
  <c r="J21" i="13"/>
  <c r="K18" i="13"/>
  <c r="J18" i="13"/>
  <c r="K16" i="13"/>
  <c r="K13" i="13" s="1"/>
  <c r="K12" i="13" s="1"/>
  <c r="J16" i="13"/>
  <c r="K14" i="13"/>
  <c r="J13" i="13"/>
  <c r="N11" i="13"/>
  <c r="O49" i="12"/>
  <c r="O48" i="12"/>
  <c r="O47" i="12"/>
  <c r="O46" i="12"/>
  <c r="O43" i="12"/>
  <c r="O40" i="12"/>
  <c r="O37" i="12"/>
  <c r="O36" i="12"/>
  <c r="O35" i="12"/>
  <c r="O28" i="12"/>
  <c r="O27" i="12"/>
  <c r="O26" i="12"/>
  <c r="O25" i="12"/>
  <c r="O22" i="12"/>
  <c r="O21" i="12"/>
  <c r="O20" i="12"/>
  <c r="O19" i="12"/>
  <c r="O18" i="12"/>
  <c r="O17" i="12"/>
  <c r="O16" i="12"/>
  <c r="O15" i="12"/>
  <c r="N49" i="12"/>
  <c r="N48" i="12"/>
  <c r="N47" i="12"/>
  <c r="N46" i="12"/>
  <c r="N43" i="12"/>
  <c r="N40" i="12"/>
  <c r="N37" i="12"/>
  <c r="N36" i="12"/>
  <c r="N35" i="12"/>
  <c r="N28" i="12"/>
  <c r="N27" i="12"/>
  <c r="N26" i="12"/>
  <c r="N25" i="12"/>
  <c r="N22" i="12"/>
  <c r="N21" i="12"/>
  <c r="N20" i="12"/>
  <c r="N19" i="12"/>
  <c r="N18" i="12"/>
  <c r="N17" i="12"/>
  <c r="N16" i="12"/>
  <c r="N15" i="12"/>
  <c r="N14" i="12"/>
  <c r="M49" i="12"/>
  <c r="M48" i="12"/>
  <c r="M47" i="12"/>
  <c r="M46" i="12"/>
  <c r="M43" i="12"/>
  <c r="M40" i="12"/>
  <c r="M37" i="12"/>
  <c r="M36" i="12"/>
  <c r="M35" i="12"/>
  <c r="M34" i="12"/>
  <c r="M33" i="12"/>
  <c r="M31" i="12"/>
  <c r="M30" i="12"/>
  <c r="M28" i="12"/>
  <c r="M27" i="12"/>
  <c r="M26" i="12"/>
  <c r="M25" i="12"/>
  <c r="M22" i="12"/>
  <c r="M21" i="12"/>
  <c r="M20" i="12"/>
  <c r="M19" i="12"/>
  <c r="M18" i="12"/>
  <c r="M17" i="12"/>
  <c r="M16" i="12"/>
  <c r="M15" i="12"/>
  <c r="M14" i="12"/>
  <c r="L49" i="12"/>
  <c r="L48" i="12"/>
  <c r="L47" i="12"/>
  <c r="L46" i="12"/>
  <c r="L43" i="12"/>
  <c r="L40" i="12"/>
  <c r="L37" i="12"/>
  <c r="L36" i="12"/>
  <c r="L35" i="12"/>
  <c r="L28" i="12"/>
  <c r="L27" i="12"/>
  <c r="L26" i="12"/>
  <c r="L25" i="12"/>
  <c r="L22" i="12"/>
  <c r="L21" i="12"/>
  <c r="L20" i="12"/>
  <c r="L19" i="12"/>
  <c r="L18" i="12"/>
  <c r="L17" i="12"/>
  <c r="L16" i="12"/>
  <c r="L15" i="12"/>
  <c r="L14" i="12"/>
  <c r="J52" i="13" l="1"/>
  <c r="K52" i="13"/>
  <c r="K51" i="13" s="1"/>
  <c r="K11" i="13" s="1"/>
  <c r="O11" i="13" s="1"/>
  <c r="J166" i="13"/>
  <c r="J12" i="13"/>
  <c r="K166" i="13"/>
  <c r="J51" i="13" l="1"/>
  <c r="J11" i="13" s="1"/>
  <c r="N33" i="12" l="1"/>
  <c r="O33" i="12"/>
  <c r="L33" i="12"/>
  <c r="L32" i="12" s="1"/>
  <c r="N34" i="12"/>
  <c r="O34" i="12"/>
  <c r="L34" i="12"/>
  <c r="Q34" i="12" s="1"/>
  <c r="T34" i="12" s="1"/>
  <c r="N31" i="12"/>
  <c r="O31" i="12"/>
  <c r="L31" i="12"/>
  <c r="Q31" i="12" s="1"/>
  <c r="T31" i="12" s="1"/>
  <c r="N30" i="12"/>
  <c r="Q30" i="12" s="1"/>
  <c r="T30" i="12" s="1"/>
  <c r="O30" i="12"/>
  <c r="L30" i="12"/>
  <c r="L29" i="12" s="1"/>
  <c r="O244" i="12"/>
  <c r="O243" i="12"/>
  <c r="O239" i="12"/>
  <c r="O238" i="12"/>
  <c r="O237" i="12"/>
  <c r="O235" i="12"/>
  <c r="O234" i="12"/>
  <c r="O233" i="12"/>
  <c r="O232" i="12"/>
  <c r="O230" i="12"/>
  <c r="O229" i="12"/>
  <c r="O228" i="12"/>
  <c r="O227" i="12"/>
  <c r="O223" i="12"/>
  <c r="O222" i="12"/>
  <c r="O221" i="12"/>
  <c r="O220" i="12"/>
  <c r="O219" i="12"/>
  <c r="O216" i="12"/>
  <c r="O215" i="12"/>
  <c r="Q215" i="12" s="1"/>
  <c r="O208" i="12"/>
  <c r="O207" i="12"/>
  <c r="O204" i="12"/>
  <c r="O203" i="12"/>
  <c r="O202" i="12"/>
  <c r="O201" i="12"/>
  <c r="O200" i="12"/>
  <c r="O199" i="12"/>
  <c r="O198" i="12"/>
  <c r="O197" i="12"/>
  <c r="O196" i="12"/>
  <c r="O195" i="12"/>
  <c r="O194" i="12"/>
  <c r="O193" i="12"/>
  <c r="O192" i="12"/>
  <c r="O191" i="12"/>
  <c r="O189" i="12"/>
  <c r="O188" i="12"/>
  <c r="O186" i="12"/>
  <c r="O185" i="12"/>
  <c r="O184" i="12"/>
  <c r="O182" i="12"/>
  <c r="O181" i="12"/>
  <c r="O179" i="12"/>
  <c r="O178" i="12"/>
  <c r="O177" i="12"/>
  <c r="O176" i="12"/>
  <c r="O175" i="12"/>
  <c r="O173" i="12"/>
  <c r="O172" i="12"/>
  <c r="O171" i="12"/>
  <c r="O166" i="12"/>
  <c r="O164" i="12"/>
  <c r="O163" i="12"/>
  <c r="O158" i="12"/>
  <c r="O157" i="12"/>
  <c r="O154" i="12"/>
  <c r="O153" i="12"/>
  <c r="O152" i="12"/>
  <c r="Q152" i="12" s="1"/>
  <c r="O151" i="12"/>
  <c r="O150" i="12"/>
  <c r="Q140" i="12"/>
  <c r="T140" i="12" s="1"/>
  <c r="O129" i="12"/>
  <c r="O128" i="12"/>
  <c r="O126" i="12"/>
  <c r="O125" i="12"/>
  <c r="O123" i="12"/>
  <c r="O121" i="12"/>
  <c r="O119" i="12"/>
  <c r="O117" i="12"/>
  <c r="O116" i="12"/>
  <c r="O115" i="12"/>
  <c r="O114" i="12"/>
  <c r="O112" i="12"/>
  <c r="O111" i="12"/>
  <c r="O110" i="12"/>
  <c r="O108" i="12"/>
  <c r="O107" i="12"/>
  <c r="O105" i="12"/>
  <c r="O104" i="12"/>
  <c r="O103" i="12"/>
  <c r="O102" i="12"/>
  <c r="O101" i="12"/>
  <c r="O100" i="12"/>
  <c r="O99" i="12"/>
  <c r="O97" i="12"/>
  <c r="O96" i="12"/>
  <c r="O95" i="12"/>
  <c r="O93" i="12"/>
  <c r="O92" i="12"/>
  <c r="O90" i="12"/>
  <c r="O89" i="12"/>
  <c r="O88" i="12"/>
  <c r="O87" i="12"/>
  <c r="O86" i="12"/>
  <c r="O85" i="12"/>
  <c r="O84" i="12"/>
  <c r="O83" i="12"/>
  <c r="Q83" i="12" s="1"/>
  <c r="O82" i="12"/>
  <c r="O81" i="12"/>
  <c r="O80" i="12"/>
  <c r="O79" i="12"/>
  <c r="Q79" i="12" s="1"/>
  <c r="O78" i="12"/>
  <c r="O77" i="12"/>
  <c r="O76" i="12"/>
  <c r="O75" i="12"/>
  <c r="O74" i="12"/>
  <c r="O73" i="12"/>
  <c r="O72" i="12"/>
  <c r="O71" i="12"/>
  <c r="O70" i="12"/>
  <c r="O69" i="12"/>
  <c r="O68" i="12"/>
  <c r="O66" i="12"/>
  <c r="O65" i="12"/>
  <c r="O64" i="12"/>
  <c r="O63" i="12"/>
  <c r="O62" i="12"/>
  <c r="O61" i="12"/>
  <c r="O60" i="12"/>
  <c r="O59" i="12"/>
  <c r="O58" i="12"/>
  <c r="O57" i="12"/>
  <c r="O56" i="12"/>
  <c r="O55" i="12"/>
  <c r="N244" i="12"/>
  <c r="N243" i="12"/>
  <c r="Q243" i="12" s="1"/>
  <c r="T243" i="12" s="1"/>
  <c r="N239" i="12"/>
  <c r="N238" i="12"/>
  <c r="N237" i="12"/>
  <c r="N235" i="12"/>
  <c r="N234" i="12"/>
  <c r="N233" i="12"/>
  <c r="N232" i="12"/>
  <c r="N230" i="12"/>
  <c r="N228" i="12"/>
  <c r="N227" i="12"/>
  <c r="N223" i="12"/>
  <c r="N222" i="12"/>
  <c r="N221" i="12"/>
  <c r="N220" i="12"/>
  <c r="N219" i="12"/>
  <c r="N216" i="12"/>
  <c r="N215" i="12"/>
  <c r="Q211" i="12"/>
  <c r="T211" i="12" s="1"/>
  <c r="N208" i="12"/>
  <c r="N207" i="12"/>
  <c r="N204" i="12"/>
  <c r="N203" i="12"/>
  <c r="N202" i="12"/>
  <c r="N200" i="12"/>
  <c r="N199" i="12"/>
  <c r="N198" i="12"/>
  <c r="N196" i="12"/>
  <c r="N195" i="12"/>
  <c r="N194" i="12"/>
  <c r="N192" i="12"/>
  <c r="N191" i="12"/>
  <c r="N189" i="12"/>
  <c r="N188" i="12"/>
  <c r="N186" i="12"/>
  <c r="N185" i="12"/>
  <c r="N184" i="12"/>
  <c r="N182" i="12"/>
  <c r="N181" i="12"/>
  <c r="N179" i="12"/>
  <c r="N178" i="12"/>
  <c r="N176" i="12"/>
  <c r="N175" i="12"/>
  <c r="N174" i="12"/>
  <c r="N173" i="12"/>
  <c r="N172" i="12"/>
  <c r="N171" i="12"/>
  <c r="N166" i="12"/>
  <c r="N164" i="12"/>
  <c r="N158" i="12"/>
  <c r="N157" i="12"/>
  <c r="N154" i="12"/>
  <c r="N153" i="12"/>
  <c r="N152" i="12"/>
  <c r="N151" i="12"/>
  <c r="N150" i="12"/>
  <c r="N129" i="12"/>
  <c r="N128" i="12"/>
  <c r="N126" i="12"/>
  <c r="N125" i="12"/>
  <c r="N123" i="12"/>
  <c r="N122" i="12"/>
  <c r="N121" i="12"/>
  <c r="N119" i="12"/>
  <c r="N117" i="12"/>
  <c r="N116" i="12"/>
  <c r="N115" i="12"/>
  <c r="N114" i="12"/>
  <c r="N112" i="12"/>
  <c r="N111" i="12"/>
  <c r="N110" i="12"/>
  <c r="N108" i="12"/>
  <c r="N107" i="12"/>
  <c r="N105" i="12"/>
  <c r="N104" i="12"/>
  <c r="N103" i="12"/>
  <c r="N102" i="12"/>
  <c r="N101" i="12"/>
  <c r="N100" i="12"/>
  <c r="N99" i="12"/>
  <c r="N97" i="12"/>
  <c r="N96" i="12"/>
  <c r="N95" i="12"/>
  <c r="N93" i="12"/>
  <c r="N92" i="12"/>
  <c r="N90" i="12"/>
  <c r="N88" i="12"/>
  <c r="N87" i="12"/>
  <c r="N86" i="12"/>
  <c r="N85" i="12"/>
  <c r="N84" i="12"/>
  <c r="N83" i="12"/>
  <c r="N82" i="12"/>
  <c r="N81" i="12"/>
  <c r="N80" i="12"/>
  <c r="N79" i="12"/>
  <c r="N78" i="12"/>
  <c r="N77" i="12"/>
  <c r="N76" i="12"/>
  <c r="N75" i="12"/>
  <c r="N74" i="12"/>
  <c r="N73" i="12"/>
  <c r="N72" i="12"/>
  <c r="N71" i="12"/>
  <c r="N70" i="12"/>
  <c r="N69" i="12"/>
  <c r="N68" i="12"/>
  <c r="N66" i="12"/>
  <c r="N65" i="12"/>
  <c r="N64" i="12"/>
  <c r="N63" i="12"/>
  <c r="N62" i="12"/>
  <c r="N60" i="12"/>
  <c r="N59" i="12"/>
  <c r="N58" i="12"/>
  <c r="N56" i="12"/>
  <c r="Q56" i="12" s="1"/>
  <c r="T56" i="12" s="1"/>
  <c r="N55" i="12"/>
  <c r="Q53" i="12"/>
  <c r="Q249" i="12"/>
  <c r="Q248" i="12"/>
  <c r="Q246" i="12"/>
  <c r="Q245" i="12"/>
  <c r="Q244" i="12"/>
  <c r="Q242" i="12"/>
  <c r="T242" i="12" s="1"/>
  <c r="Q240" i="12"/>
  <c r="Q239" i="12"/>
  <c r="Q238" i="12"/>
  <c r="Q235" i="12"/>
  <c r="Q234" i="12"/>
  <c r="T234" i="12" s="1"/>
  <c r="Q227" i="12"/>
  <c r="Q224" i="12"/>
  <c r="Q223" i="12"/>
  <c r="T223" i="12" s="1"/>
  <c r="Q222" i="12"/>
  <c r="T222" i="12" s="1"/>
  <c r="Q221" i="12"/>
  <c r="Q219" i="12"/>
  <c r="T219" i="12" s="1"/>
  <c r="Q217" i="12"/>
  <c r="Q216" i="12"/>
  <c r="T216" i="12" s="1"/>
  <c r="Q213" i="12"/>
  <c r="Q212" i="12"/>
  <c r="Q209" i="12"/>
  <c r="Q208" i="12"/>
  <c r="Q207" i="12"/>
  <c r="T207" i="12" s="1"/>
  <c r="Q206" i="12"/>
  <c r="Q204" i="12"/>
  <c r="Q200" i="12"/>
  <c r="Q168" i="12"/>
  <c r="Q167" i="12"/>
  <c r="Q162" i="12"/>
  <c r="T162" i="12" s="1"/>
  <c r="Q160" i="12"/>
  <c r="Q159" i="12"/>
  <c r="Q158" i="12"/>
  <c r="Q157" i="12"/>
  <c r="Q155" i="12"/>
  <c r="T155" i="12" s="1"/>
  <c r="Q154" i="12"/>
  <c r="Q153" i="12"/>
  <c r="T153" i="12" s="1"/>
  <c r="Q150" i="12"/>
  <c r="Q149" i="12"/>
  <c r="Q148" i="12"/>
  <c r="Q144" i="12"/>
  <c r="Q142" i="12"/>
  <c r="Q141" i="12"/>
  <c r="Q137" i="12"/>
  <c r="Q134" i="12"/>
  <c r="T134" i="12" s="1"/>
  <c r="Q133" i="12"/>
  <c r="Q132" i="12"/>
  <c r="Q130" i="12"/>
  <c r="T130" i="12" s="1"/>
  <c r="Q101" i="12"/>
  <c r="Q93" i="12"/>
  <c r="T93" i="12" s="1"/>
  <c r="Q88" i="12"/>
  <c r="Q87" i="12"/>
  <c r="Q85" i="12"/>
  <c r="Q84" i="12"/>
  <c r="Q81" i="12"/>
  <c r="Q80" i="12"/>
  <c r="T80" i="12" s="1"/>
  <c r="Q77" i="12"/>
  <c r="Q76" i="12"/>
  <c r="Q75" i="12"/>
  <c r="Q65" i="12"/>
  <c r="Q64" i="12"/>
  <c r="Q60" i="12"/>
  <c r="T60" i="12" s="1"/>
  <c r="Q55" i="12"/>
  <c r="Q50" i="12"/>
  <c r="T50" i="12" s="1"/>
  <c r="Q49" i="12"/>
  <c r="T49" i="12" s="1"/>
  <c r="Q48" i="12"/>
  <c r="Q47" i="12"/>
  <c r="T47" i="12" s="1"/>
  <c r="Q46" i="12"/>
  <c r="T46" i="12" s="1"/>
  <c r="Q44" i="12"/>
  <c r="Q43" i="12"/>
  <c r="T43" i="12" s="1"/>
  <c r="Q41" i="12"/>
  <c r="Q40" i="12"/>
  <c r="Q38" i="12"/>
  <c r="T38" i="12" s="1"/>
  <c r="Q37" i="12"/>
  <c r="T37" i="12" s="1"/>
  <c r="Q36" i="12"/>
  <c r="T36" i="12" s="1"/>
  <c r="Q35" i="12"/>
  <c r="T35" i="12" s="1"/>
  <c r="Q28" i="12"/>
  <c r="Q27" i="12"/>
  <c r="Q26" i="12"/>
  <c r="T26" i="12" s="1"/>
  <c r="Q25" i="12"/>
  <c r="T25" i="12" s="1"/>
  <c r="Q23" i="12"/>
  <c r="Q22" i="12"/>
  <c r="T22" i="12" s="1"/>
  <c r="Q21" i="12"/>
  <c r="T21" i="12" s="1"/>
  <c r="Q20" i="12"/>
  <c r="T20" i="12" s="1"/>
  <c r="Q19" i="12"/>
  <c r="Q18" i="12"/>
  <c r="T18" i="12" s="1"/>
  <c r="Q17" i="12"/>
  <c r="T17" i="12" s="1"/>
  <c r="Q16" i="12"/>
  <c r="T16" i="12" s="1"/>
  <c r="Q15" i="12"/>
  <c r="T15" i="12" s="1"/>
  <c r="Q14" i="12"/>
  <c r="T14" i="12" s="1"/>
  <c r="N247" i="12"/>
  <c r="N214" i="12"/>
  <c r="N210" i="12"/>
  <c r="N156" i="12"/>
  <c r="N45" i="12"/>
  <c r="N42" i="12"/>
  <c r="N39" i="12"/>
  <c r="N32" i="12"/>
  <c r="M244" i="12"/>
  <c r="T244" i="12" s="1"/>
  <c r="M243" i="12"/>
  <c r="M239" i="12"/>
  <c r="M238" i="12"/>
  <c r="M237" i="12"/>
  <c r="Q237" i="12" s="1"/>
  <c r="T237" i="12" s="1"/>
  <c r="M235" i="12"/>
  <c r="M234" i="12"/>
  <c r="M233" i="12"/>
  <c r="M232" i="12"/>
  <c r="M230" i="12"/>
  <c r="M228" i="12"/>
  <c r="M227" i="12"/>
  <c r="M223" i="12"/>
  <c r="M222" i="12"/>
  <c r="M221" i="12"/>
  <c r="M220" i="12"/>
  <c r="M218" i="12" s="1"/>
  <c r="M219" i="12"/>
  <c r="M216" i="12"/>
  <c r="M208" i="12"/>
  <c r="M207" i="12"/>
  <c r="M204" i="12"/>
  <c r="M203" i="12"/>
  <c r="M202" i="12"/>
  <c r="M200" i="12"/>
  <c r="M199" i="12"/>
  <c r="M198" i="12"/>
  <c r="M196" i="12"/>
  <c r="M195" i="12"/>
  <c r="M194" i="12"/>
  <c r="M192" i="12"/>
  <c r="M189" i="12"/>
  <c r="M188" i="12"/>
  <c r="M186" i="12"/>
  <c r="M185" i="12"/>
  <c r="M184" i="12"/>
  <c r="M182" i="12"/>
  <c r="M179" i="12"/>
  <c r="M178" i="12"/>
  <c r="M176" i="12"/>
  <c r="M173" i="12"/>
  <c r="M172" i="12"/>
  <c r="M166" i="12"/>
  <c r="M164" i="12"/>
  <c r="M158" i="12"/>
  <c r="M156" i="12" s="1"/>
  <c r="M157" i="12"/>
  <c r="M154" i="12"/>
  <c r="M153" i="12"/>
  <c r="M152" i="12"/>
  <c r="M150" i="12"/>
  <c r="M129" i="12"/>
  <c r="M126" i="12"/>
  <c r="M125" i="12"/>
  <c r="M123" i="12"/>
  <c r="M121" i="12"/>
  <c r="M119" i="12"/>
  <c r="M117" i="12"/>
  <c r="Q117" i="12" s="1"/>
  <c r="M115" i="12"/>
  <c r="M112" i="12"/>
  <c r="M111" i="12"/>
  <c r="M110" i="12"/>
  <c r="M108" i="12"/>
  <c r="M107" i="12"/>
  <c r="M105" i="12"/>
  <c r="M104" i="12"/>
  <c r="M102" i="12"/>
  <c r="M101" i="12"/>
  <c r="M100" i="12"/>
  <c r="M99" i="12"/>
  <c r="M97" i="12"/>
  <c r="Q97" i="12" s="1"/>
  <c r="T97" i="12" s="1"/>
  <c r="M95" i="12"/>
  <c r="M93" i="12"/>
  <c r="M92" i="12"/>
  <c r="Q92" i="12" s="1"/>
  <c r="M90" i="12"/>
  <c r="M88" i="12"/>
  <c r="M87" i="12"/>
  <c r="M86" i="12"/>
  <c r="M85" i="12"/>
  <c r="M84" i="12"/>
  <c r="M83" i="12"/>
  <c r="M82" i="12"/>
  <c r="M81" i="12"/>
  <c r="M80" i="12"/>
  <c r="M79" i="12"/>
  <c r="M78" i="12"/>
  <c r="M77" i="12"/>
  <c r="M76" i="12"/>
  <c r="M75" i="12"/>
  <c r="M74" i="12"/>
  <c r="M73" i="12"/>
  <c r="M72" i="12"/>
  <c r="M71" i="12"/>
  <c r="M70" i="12"/>
  <c r="M69" i="12"/>
  <c r="M68" i="12"/>
  <c r="M66" i="12"/>
  <c r="M63" i="12"/>
  <c r="M62" i="12"/>
  <c r="M60" i="12"/>
  <c r="M59" i="12"/>
  <c r="M58" i="12"/>
  <c r="M56" i="12"/>
  <c r="M55" i="12"/>
  <c r="M54" i="12"/>
  <c r="T81" i="12"/>
  <c r="L248" i="12"/>
  <c r="L244" i="12"/>
  <c r="L243" i="12"/>
  <c r="L242" i="12"/>
  <c r="L239" i="12"/>
  <c r="L238" i="12"/>
  <c r="L237" i="12"/>
  <c r="L235" i="12"/>
  <c r="L234" i="12"/>
  <c r="L233" i="12"/>
  <c r="Q233" i="12" s="1"/>
  <c r="T233" i="12" s="1"/>
  <c r="L232" i="12"/>
  <c r="L231" i="12"/>
  <c r="L230" i="12"/>
  <c r="Q230" i="12" s="1"/>
  <c r="L228" i="12"/>
  <c r="L227" i="12"/>
  <c r="L223" i="12"/>
  <c r="L222" i="12"/>
  <c r="L221" i="12"/>
  <c r="L218" i="12" s="1"/>
  <c r="L220" i="12"/>
  <c r="L219" i="12"/>
  <c r="L216" i="12"/>
  <c r="L215" i="12"/>
  <c r="L212" i="12"/>
  <c r="L211" i="12"/>
  <c r="L208" i="12"/>
  <c r="L207" i="12"/>
  <c r="L206" i="12"/>
  <c r="L205" i="12"/>
  <c r="L204" i="12"/>
  <c r="L203" i="12"/>
  <c r="Q203" i="12" s="1"/>
  <c r="T203" i="12" s="1"/>
  <c r="L202" i="12"/>
  <c r="Q202" i="12" s="1"/>
  <c r="L200" i="12"/>
  <c r="L199" i="12"/>
  <c r="Q199" i="12" s="1"/>
  <c r="L198" i="12"/>
  <c r="Q198" i="12" s="1"/>
  <c r="T198" i="12" s="1"/>
  <c r="L196" i="12"/>
  <c r="Q196" i="12" s="1"/>
  <c r="T196" i="12" s="1"/>
  <c r="L195" i="12"/>
  <c r="Q195" i="12" s="1"/>
  <c r="L194" i="12"/>
  <c r="Q194" i="12" s="1"/>
  <c r="L192" i="12"/>
  <c r="Q192" i="12" s="1"/>
  <c r="T192" i="12" s="1"/>
  <c r="L191" i="12"/>
  <c r="Q191" i="12" s="1"/>
  <c r="L189" i="12"/>
  <c r="L188" i="12"/>
  <c r="Q188" i="12" s="1"/>
  <c r="T188" i="12" s="1"/>
  <c r="L187" i="12"/>
  <c r="L186" i="12"/>
  <c r="Q186" i="12" s="1"/>
  <c r="L185" i="12"/>
  <c r="L184" i="12"/>
  <c r="Q184" i="12" s="1"/>
  <c r="T184" i="12" s="1"/>
  <c r="L182" i="12"/>
  <c r="Q182" i="12" s="1"/>
  <c r="L179" i="12"/>
  <c r="Q179" i="12" s="1"/>
  <c r="L178" i="12"/>
  <c r="Q178" i="12" s="1"/>
  <c r="T178" i="12" s="1"/>
  <c r="L176" i="12"/>
  <c r="Q176" i="12" s="1"/>
  <c r="T176" i="12" s="1"/>
  <c r="L175" i="12"/>
  <c r="L173" i="12"/>
  <c r="L172" i="12"/>
  <c r="Q172" i="12" s="1"/>
  <c r="T172" i="12" s="1"/>
  <c r="L171" i="12"/>
  <c r="L167" i="12"/>
  <c r="L166" i="12"/>
  <c r="Q166" i="12" s="1"/>
  <c r="T166" i="12" s="1"/>
  <c r="L164" i="12"/>
  <c r="L162" i="12"/>
  <c r="L159" i="12"/>
  <c r="T159" i="12" s="1"/>
  <c r="L158" i="12"/>
  <c r="L157" i="12"/>
  <c r="L154" i="12"/>
  <c r="L153" i="12"/>
  <c r="L150" i="12"/>
  <c r="L149" i="12"/>
  <c r="L146" i="12"/>
  <c r="Q146" i="12" s="1"/>
  <c r="T146" i="12" s="1"/>
  <c r="L144" i="12"/>
  <c r="L143" i="12"/>
  <c r="L142" i="12"/>
  <c r="L141" i="12"/>
  <c r="L140" i="12"/>
  <c r="L139" i="12"/>
  <c r="L137" i="12"/>
  <c r="L136" i="12"/>
  <c r="L134" i="12"/>
  <c r="L133" i="12"/>
  <c r="L132" i="12"/>
  <c r="L129" i="12"/>
  <c r="Q129" i="12" s="1"/>
  <c r="L125" i="12"/>
  <c r="Q125" i="12" s="1"/>
  <c r="T125" i="12" s="1"/>
  <c r="L123" i="12"/>
  <c r="Q123" i="12" s="1"/>
  <c r="L121" i="12"/>
  <c r="L119" i="12"/>
  <c r="Q119" i="12" s="1"/>
  <c r="L117" i="12"/>
  <c r="L115" i="12"/>
  <c r="L112" i="12"/>
  <c r="Q112" i="12" s="1"/>
  <c r="T112" i="12" s="1"/>
  <c r="L111" i="12"/>
  <c r="L110" i="12"/>
  <c r="L108" i="12"/>
  <c r="Q108" i="12" s="1"/>
  <c r="T108" i="12" s="1"/>
  <c r="L107" i="12"/>
  <c r="Q107" i="12" s="1"/>
  <c r="L105" i="12"/>
  <c r="Q105" i="12" s="1"/>
  <c r="T105" i="12" s="1"/>
  <c r="L104" i="12"/>
  <c r="Q104" i="12" s="1"/>
  <c r="T104" i="12" s="1"/>
  <c r="L101" i="12"/>
  <c r="L100" i="12"/>
  <c r="Q100" i="12" s="1"/>
  <c r="L99" i="12"/>
  <c r="L97" i="12"/>
  <c r="L95" i="12"/>
  <c r="L93" i="12"/>
  <c r="L92" i="12"/>
  <c r="L90" i="12"/>
  <c r="L88" i="12"/>
  <c r="L87" i="12"/>
  <c r="L86" i="12"/>
  <c r="L85" i="12"/>
  <c r="L84" i="12"/>
  <c r="L83" i="12"/>
  <c r="L82" i="12"/>
  <c r="L81" i="12"/>
  <c r="L80" i="12"/>
  <c r="L79" i="12"/>
  <c r="L78" i="12"/>
  <c r="L77" i="12"/>
  <c r="T77" i="12" s="1"/>
  <c r="L76" i="12"/>
  <c r="L75" i="12"/>
  <c r="L74" i="12"/>
  <c r="L73" i="12"/>
  <c r="L72" i="12"/>
  <c r="Q72" i="12" s="1"/>
  <c r="T72" i="12" s="1"/>
  <c r="L71" i="12"/>
  <c r="L70" i="12"/>
  <c r="L69" i="12"/>
  <c r="L68" i="12"/>
  <c r="Q68" i="12" s="1"/>
  <c r="T68" i="12" s="1"/>
  <c r="L63" i="12"/>
  <c r="L62" i="12"/>
  <c r="L60" i="12"/>
  <c r="L59" i="12"/>
  <c r="Q59" i="12" s="1"/>
  <c r="L58" i="12"/>
  <c r="L56" i="12"/>
  <c r="L55" i="12"/>
  <c r="T84" i="12"/>
  <c r="T85" i="12"/>
  <c r="L130" i="12"/>
  <c r="T204" i="12"/>
  <c r="T208" i="12"/>
  <c r="L210" i="12"/>
  <c r="L214" i="12"/>
  <c r="L241" i="12"/>
  <c r="T209" i="12"/>
  <c r="T217" i="12"/>
  <c r="T246" i="12"/>
  <c r="T245" i="12"/>
  <c r="T240" i="12"/>
  <c r="T224" i="12"/>
  <c r="T213" i="12"/>
  <c r="T200" i="12"/>
  <c r="T168" i="12"/>
  <c r="T160" i="12"/>
  <c r="T44" i="12"/>
  <c r="T41" i="12"/>
  <c r="T28" i="12"/>
  <c r="T19" i="12"/>
  <c r="M247" i="12"/>
  <c r="M210" i="12"/>
  <c r="M45" i="12"/>
  <c r="M42" i="12"/>
  <c r="M39" i="12"/>
  <c r="K247" i="12"/>
  <c r="K241" i="12"/>
  <c r="K236" i="12"/>
  <c r="M236" i="12" s="1"/>
  <c r="K231" i="12"/>
  <c r="M231" i="12" s="1"/>
  <c r="K229" i="12"/>
  <c r="M229" i="12" s="1"/>
  <c r="K226" i="12"/>
  <c r="N226" i="12" s="1"/>
  <c r="K218" i="12"/>
  <c r="K215" i="12"/>
  <c r="K214" i="12" s="1"/>
  <c r="K210" i="12"/>
  <c r="K201" i="12"/>
  <c r="M201" i="12" s="1"/>
  <c r="K197" i="12"/>
  <c r="M197" i="12" s="1"/>
  <c r="K193" i="12"/>
  <c r="M193" i="12" s="1"/>
  <c r="K191" i="12"/>
  <c r="M191" i="12" s="1"/>
  <c r="K190" i="12"/>
  <c r="L190" i="12" s="1"/>
  <c r="K187" i="12"/>
  <c r="M187" i="12" s="1"/>
  <c r="K183" i="12"/>
  <c r="M183" i="12" s="1"/>
  <c r="K181" i="12"/>
  <c r="M181" i="12" s="1"/>
  <c r="K180" i="12"/>
  <c r="M180" i="12" s="1"/>
  <c r="K177" i="12"/>
  <c r="M177" i="12" s="1"/>
  <c r="K175" i="12"/>
  <c r="K174" i="12" s="1"/>
  <c r="L174" i="12" s="1"/>
  <c r="K171" i="12"/>
  <c r="K170" i="12" s="1"/>
  <c r="M170" i="12" s="1"/>
  <c r="K165" i="12"/>
  <c r="M165" i="12" s="1"/>
  <c r="K163" i="12"/>
  <c r="L163" i="12" s="1"/>
  <c r="K156" i="12"/>
  <c r="K152" i="12"/>
  <c r="L152" i="12" s="1"/>
  <c r="K151" i="12"/>
  <c r="M151" i="12" s="1"/>
  <c r="K148" i="12"/>
  <c r="L148" i="12" s="1"/>
  <c r="K147" i="12"/>
  <c r="K145" i="12" s="1"/>
  <c r="K138" i="12"/>
  <c r="K135" i="12" s="1"/>
  <c r="M131" i="12" s="1"/>
  <c r="K128" i="12"/>
  <c r="K127" i="12" s="1"/>
  <c r="N127" i="12" s="1"/>
  <c r="K126" i="12"/>
  <c r="L126" i="12" s="1"/>
  <c r="K124" i="12"/>
  <c r="M124" i="12" s="1"/>
  <c r="K122" i="12"/>
  <c r="L122" i="12" s="1"/>
  <c r="K120" i="12"/>
  <c r="M120" i="12" s="1"/>
  <c r="K118" i="12"/>
  <c r="L118" i="12" s="1"/>
  <c r="K116" i="12"/>
  <c r="M116" i="12" s="1"/>
  <c r="K114" i="12"/>
  <c r="L114" i="12" s="1"/>
  <c r="K109" i="12"/>
  <c r="M109" i="12" s="1"/>
  <c r="K106" i="12"/>
  <c r="L106" i="12" s="1"/>
  <c r="K103" i="12"/>
  <c r="M103" i="12" s="1"/>
  <c r="K102" i="12"/>
  <c r="K96" i="12"/>
  <c r="K94" i="12" s="1"/>
  <c r="L94" i="12" s="1"/>
  <c r="K91" i="12"/>
  <c r="M91" i="12" s="1"/>
  <c r="K89" i="12"/>
  <c r="M89" i="12" s="1"/>
  <c r="K67" i="12"/>
  <c r="M67" i="12" s="1"/>
  <c r="K66" i="12"/>
  <c r="L66" i="12" s="1"/>
  <c r="K65" i="12"/>
  <c r="M65" i="12" s="1"/>
  <c r="K64" i="12"/>
  <c r="M64" i="12" s="1"/>
  <c r="K61" i="12"/>
  <c r="M61" i="12" s="1"/>
  <c r="K57" i="12"/>
  <c r="M57" i="12" s="1"/>
  <c r="K54" i="12"/>
  <c r="L54" i="12" s="1"/>
  <c r="K53" i="12"/>
  <c r="L53" i="12" s="1"/>
  <c r="L45" i="12"/>
  <c r="K48" i="12"/>
  <c r="K45" i="12" s="1"/>
  <c r="L42" i="12"/>
  <c r="Q42" i="12" s="1"/>
  <c r="K43" i="12"/>
  <c r="K42" i="12" s="1"/>
  <c r="L39" i="12"/>
  <c r="K40" i="12"/>
  <c r="K39" i="12" s="1"/>
  <c r="K32" i="12"/>
  <c r="M32" i="12" s="1"/>
  <c r="K29" i="12"/>
  <c r="M29" i="12" s="1"/>
  <c r="K27" i="12"/>
  <c r="K24" i="12" s="1"/>
  <c r="K22" i="12"/>
  <c r="K21" i="12"/>
  <c r="L13" i="12"/>
  <c r="K18" i="12"/>
  <c r="K16" i="12"/>
  <c r="K14" i="12"/>
  <c r="O247" i="12"/>
  <c r="O241" i="12"/>
  <c r="O218" i="12"/>
  <c r="O214" i="12"/>
  <c r="Q214" i="12" s="1"/>
  <c r="O210" i="12"/>
  <c r="O156" i="12"/>
  <c r="O45" i="12"/>
  <c r="O42" i="12"/>
  <c r="O39" i="12"/>
  <c r="O32" i="12"/>
  <c r="J247" i="12"/>
  <c r="J241" i="12"/>
  <c r="J236" i="12"/>
  <c r="J231" i="12"/>
  <c r="J229" i="12"/>
  <c r="J226" i="12"/>
  <c r="J218" i="12"/>
  <c r="J215" i="12"/>
  <c r="J214" i="12"/>
  <c r="J210" i="12"/>
  <c r="J201" i="12"/>
  <c r="J200" i="12"/>
  <c r="J197" i="12"/>
  <c r="J193" i="12"/>
  <c r="J191" i="12"/>
  <c r="J190" i="12" s="1"/>
  <c r="J187" i="12"/>
  <c r="J183" i="12"/>
  <c r="J180" i="12"/>
  <c r="J177" i="12"/>
  <c r="J175" i="12"/>
  <c r="J174" i="12" s="1"/>
  <c r="J171" i="12"/>
  <c r="J170" i="12" s="1"/>
  <c r="J165" i="12"/>
  <c r="J163" i="12"/>
  <c r="J156" i="12"/>
  <c r="V152" i="12"/>
  <c r="J152" i="12"/>
  <c r="J151" i="12"/>
  <c r="J150" i="12"/>
  <c r="J148" i="12"/>
  <c r="J145" i="12"/>
  <c r="J138" i="12"/>
  <c r="J135" i="12"/>
  <c r="J127" i="12"/>
  <c r="J124" i="12"/>
  <c r="J122" i="12"/>
  <c r="I122" i="12"/>
  <c r="J120" i="12"/>
  <c r="I120" i="12"/>
  <c r="J118" i="12"/>
  <c r="I118" i="12"/>
  <c r="J113" i="12"/>
  <c r="J110" i="12"/>
  <c r="J109" i="12" s="1"/>
  <c r="J106" i="12"/>
  <c r="J101" i="12"/>
  <c r="J98" i="12" s="1"/>
  <c r="J95" i="12"/>
  <c r="J94" i="12" s="1"/>
  <c r="J92" i="12"/>
  <c r="J91" i="12" s="1"/>
  <c r="J89" i="12"/>
  <c r="J67" i="12"/>
  <c r="J66" i="12"/>
  <c r="V65" i="12"/>
  <c r="J65" i="12"/>
  <c r="J64" i="12"/>
  <c r="J61" i="12"/>
  <c r="J57" i="12"/>
  <c r="J54" i="12"/>
  <c r="J53" i="12"/>
  <c r="J48" i="12"/>
  <c r="J45" i="12" s="1"/>
  <c r="J43" i="12"/>
  <c r="J42" i="12" s="1"/>
  <c r="J40" i="12"/>
  <c r="J39" i="12" s="1"/>
  <c r="J37" i="12"/>
  <c r="J32" i="12"/>
  <c r="J29" i="12"/>
  <c r="J27" i="12"/>
  <c r="J22" i="12"/>
  <c r="J21" i="12"/>
  <c r="J13" i="12" s="1"/>
  <c r="J18" i="12"/>
  <c r="J16" i="12"/>
  <c r="T141" i="12" l="1"/>
  <c r="N236" i="12"/>
  <c r="O236" i="12"/>
  <c r="N231" i="12"/>
  <c r="O231" i="12"/>
  <c r="Q231" i="12" s="1"/>
  <c r="T231" i="12" s="1"/>
  <c r="N229" i="12"/>
  <c r="O226" i="12"/>
  <c r="T227" i="12"/>
  <c r="M226" i="12"/>
  <c r="N201" i="12"/>
  <c r="N197" i="12"/>
  <c r="N193" i="12"/>
  <c r="O190" i="12"/>
  <c r="N190" i="12"/>
  <c r="N169" i="12" s="1"/>
  <c r="N187" i="12"/>
  <c r="O187" i="12"/>
  <c r="Q187" i="12" s="1"/>
  <c r="T187" i="12" s="1"/>
  <c r="N183" i="12"/>
  <c r="O183" i="12"/>
  <c r="L183" i="12"/>
  <c r="N180" i="12"/>
  <c r="O180" i="12"/>
  <c r="N177" i="12"/>
  <c r="O174" i="12"/>
  <c r="M174" i="12"/>
  <c r="Q174" i="12" s="1"/>
  <c r="T174" i="12" s="1"/>
  <c r="N170" i="12"/>
  <c r="O170" i="12"/>
  <c r="N165" i="12"/>
  <c r="O165" i="12"/>
  <c r="N163" i="12"/>
  <c r="N161" i="12" s="1"/>
  <c r="L145" i="12"/>
  <c r="Q136" i="12"/>
  <c r="T136" i="12" s="1"/>
  <c r="O127" i="12"/>
  <c r="N124" i="12"/>
  <c r="O124" i="12"/>
  <c r="O122" i="12"/>
  <c r="N120" i="12"/>
  <c r="T121" i="12"/>
  <c r="Q121" i="12"/>
  <c r="O120" i="12"/>
  <c r="O118" i="12"/>
  <c r="M118" i="12"/>
  <c r="N118" i="12"/>
  <c r="Q115" i="12"/>
  <c r="Q111" i="12"/>
  <c r="O109" i="12"/>
  <c r="N109" i="12"/>
  <c r="M106" i="12"/>
  <c r="O106" i="12"/>
  <c r="Q106" i="12" s="1"/>
  <c r="T106" i="12" s="1"/>
  <c r="N106" i="12"/>
  <c r="T101" i="12"/>
  <c r="Q99" i="12"/>
  <c r="N94" i="12"/>
  <c r="O94" i="12"/>
  <c r="Q94" i="12" s="1"/>
  <c r="T94" i="12" s="1"/>
  <c r="M94" i="12"/>
  <c r="Q95" i="12"/>
  <c r="L91" i="12"/>
  <c r="N91" i="12"/>
  <c r="O91" i="12"/>
  <c r="N89" i="12"/>
  <c r="Q73" i="12"/>
  <c r="Q71" i="12"/>
  <c r="N67" i="12"/>
  <c r="Q69" i="12"/>
  <c r="T69" i="12" s="1"/>
  <c r="L67" i="12"/>
  <c r="O67" i="12"/>
  <c r="T73" i="12"/>
  <c r="N61" i="12"/>
  <c r="Q63" i="12"/>
  <c r="N57" i="12"/>
  <c r="O54" i="12"/>
  <c r="N54" i="12"/>
  <c r="Q33" i="12"/>
  <c r="T33" i="12" s="1"/>
  <c r="N29" i="12"/>
  <c r="Q45" i="12"/>
  <c r="Q39" i="12"/>
  <c r="T39" i="12" s="1"/>
  <c r="T45" i="12"/>
  <c r="T42" i="12"/>
  <c r="Q32" i="12"/>
  <c r="T32" i="12" s="1"/>
  <c r="O29" i="12"/>
  <c r="O24" i="12" s="1"/>
  <c r="M24" i="12"/>
  <c r="M12" i="12" s="1"/>
  <c r="T248" i="12"/>
  <c r="Q247" i="12"/>
  <c r="Q228" i="12"/>
  <c r="Q232" i="12"/>
  <c r="T232" i="12" s="1"/>
  <c r="Q236" i="12"/>
  <c r="Q220" i="12"/>
  <c r="Q210" i="12"/>
  <c r="T210" i="12" s="1"/>
  <c r="Q173" i="12"/>
  <c r="Q181" i="12"/>
  <c r="T181" i="12" s="1"/>
  <c r="Q185" i="12"/>
  <c r="T185" i="12" s="1"/>
  <c r="Q189" i="12"/>
  <c r="T189" i="12" s="1"/>
  <c r="Q197" i="12"/>
  <c r="T197" i="12" s="1"/>
  <c r="Q205" i="12"/>
  <c r="Q164" i="12"/>
  <c r="Q156" i="12"/>
  <c r="T156" i="12" s="1"/>
  <c r="Q143" i="12"/>
  <c r="T143" i="12" s="1"/>
  <c r="T133" i="12"/>
  <c r="T149" i="12"/>
  <c r="T152" i="12"/>
  <c r="T137" i="12"/>
  <c r="Q139" i="12"/>
  <c r="T139" i="12" s="1"/>
  <c r="Q151" i="12"/>
  <c r="T144" i="12"/>
  <c r="Q58" i="12"/>
  <c r="Q66" i="12"/>
  <c r="Q74" i="12"/>
  <c r="T74" i="12" s="1"/>
  <c r="Q82" i="12"/>
  <c r="T82" i="12" s="1"/>
  <c r="Q90" i="12"/>
  <c r="T90" i="12" s="1"/>
  <c r="T129" i="12"/>
  <c r="T117" i="12"/>
  <c r="Q54" i="12"/>
  <c r="T54" i="12" s="1"/>
  <c r="Q62" i="12"/>
  <c r="T62" i="12" s="1"/>
  <c r="Q70" i="12"/>
  <c r="Q78" i="12"/>
  <c r="T78" i="12" s="1"/>
  <c r="Q86" i="12"/>
  <c r="T86" i="12" s="1"/>
  <c r="Q110" i="12"/>
  <c r="Q118" i="12"/>
  <c r="T118" i="12" s="1"/>
  <c r="Q126" i="12"/>
  <c r="N241" i="12"/>
  <c r="Q241" i="12" s="1"/>
  <c r="T241" i="12" s="1"/>
  <c r="N218" i="12"/>
  <c r="Q218" i="12" s="1"/>
  <c r="T212" i="12"/>
  <c r="T71" i="12"/>
  <c r="T75" i="12"/>
  <c r="T92" i="12"/>
  <c r="T99" i="12"/>
  <c r="T111" i="12"/>
  <c r="T119" i="12"/>
  <c r="T76" i="12"/>
  <c r="T88" i="12"/>
  <c r="T100" i="12"/>
  <c r="T154" i="12"/>
  <c r="T186" i="12"/>
  <c r="T191" i="12"/>
  <c r="T95" i="12"/>
  <c r="T115" i="12"/>
  <c r="T199" i="12"/>
  <c r="T239" i="12"/>
  <c r="T182" i="12"/>
  <c r="T142" i="12"/>
  <c r="T194" i="12"/>
  <c r="T230" i="12"/>
  <c r="T150" i="12"/>
  <c r="T179" i="12"/>
  <c r="T195" i="12"/>
  <c r="T235" i="12"/>
  <c r="T202" i="12"/>
  <c r="T206" i="12"/>
  <c r="T238" i="12"/>
  <c r="L161" i="12"/>
  <c r="M127" i="12"/>
  <c r="L127" i="12"/>
  <c r="T64" i="12"/>
  <c r="L103" i="12"/>
  <c r="Q103" i="12" s="1"/>
  <c r="L165" i="12"/>
  <c r="Q165" i="12" s="1"/>
  <c r="M114" i="12"/>
  <c r="Q114" i="12" s="1"/>
  <c r="M122" i="12"/>
  <c r="Q122" i="12" s="1"/>
  <c r="T122" i="12" s="1"/>
  <c r="M190" i="12"/>
  <c r="J131" i="12"/>
  <c r="L24" i="12"/>
  <c r="K169" i="12"/>
  <c r="K225" i="12"/>
  <c r="M13" i="12"/>
  <c r="T40" i="12"/>
  <c r="T48" i="12"/>
  <c r="L64" i="12"/>
  <c r="L96" i="12"/>
  <c r="Q96" i="12" s="1"/>
  <c r="L116" i="12"/>
  <c r="L120" i="12"/>
  <c r="L124" i="12"/>
  <c r="Q124" i="12" s="1"/>
  <c r="T124" i="12" s="1"/>
  <c r="L128" i="12"/>
  <c r="L138" i="12"/>
  <c r="L180" i="12"/>
  <c r="Q180" i="12" s="1"/>
  <c r="T180" i="12" s="1"/>
  <c r="L236" i="12"/>
  <c r="T53" i="12"/>
  <c r="M171" i="12"/>
  <c r="M175" i="12"/>
  <c r="M215" i="12"/>
  <c r="N131" i="12"/>
  <c r="J161" i="12"/>
  <c r="K13" i="12"/>
  <c r="K12" i="12" s="1"/>
  <c r="M241" i="12"/>
  <c r="T221" i="12"/>
  <c r="L247" i="12"/>
  <c r="T247" i="12" s="1"/>
  <c r="L57" i="12"/>
  <c r="L61" i="12"/>
  <c r="Q61" i="12" s="1"/>
  <c r="L65" i="12"/>
  <c r="T65" i="12" s="1"/>
  <c r="L89" i="12"/>
  <c r="L109" i="12"/>
  <c r="Q109" i="12" s="1"/>
  <c r="T109" i="12" s="1"/>
  <c r="L135" i="12"/>
  <c r="Q135" i="12" s="1"/>
  <c r="T135" i="12" s="1"/>
  <c r="L147" i="12"/>
  <c r="Q147" i="12" s="1"/>
  <c r="T147" i="12" s="1"/>
  <c r="L151" i="12"/>
  <c r="T151" i="12" s="1"/>
  <c r="L156" i="12"/>
  <c r="L177" i="12"/>
  <c r="Q177" i="12" s="1"/>
  <c r="T177" i="12" s="1"/>
  <c r="L181" i="12"/>
  <c r="L193" i="12"/>
  <c r="Q193" i="12" s="1"/>
  <c r="L197" i="12"/>
  <c r="L201" i="12"/>
  <c r="Q201" i="12" s="1"/>
  <c r="T201" i="12" s="1"/>
  <c r="L229" i="12"/>
  <c r="M96" i="12"/>
  <c r="M128" i="12"/>
  <c r="T228" i="12"/>
  <c r="N225" i="12"/>
  <c r="T27" i="12"/>
  <c r="O13" i="12"/>
  <c r="O161" i="12"/>
  <c r="K98" i="12"/>
  <c r="K113" i="12"/>
  <c r="K161" i="12"/>
  <c r="L102" i="12"/>
  <c r="Q102" i="12" s="1"/>
  <c r="T102" i="12" s="1"/>
  <c r="L170" i="12"/>
  <c r="L226" i="12"/>
  <c r="M163" i="12"/>
  <c r="N13" i="12"/>
  <c r="N24" i="12"/>
  <c r="M225" i="12"/>
  <c r="T220" i="12"/>
  <c r="T173" i="12"/>
  <c r="T205" i="12"/>
  <c r="T164" i="12"/>
  <c r="T110" i="12"/>
  <c r="T55" i="12"/>
  <c r="T59" i="12"/>
  <c r="T63" i="12"/>
  <c r="T79" i="12"/>
  <c r="T83" i="12"/>
  <c r="T87" i="12"/>
  <c r="T103" i="12"/>
  <c r="T107" i="12"/>
  <c r="T123" i="12"/>
  <c r="L225" i="12"/>
  <c r="T157" i="12"/>
  <c r="T58" i="12"/>
  <c r="T66" i="12"/>
  <c r="T70" i="12"/>
  <c r="T126" i="12"/>
  <c r="T158" i="12"/>
  <c r="T132" i="12"/>
  <c r="T148" i="12"/>
  <c r="T165" i="12"/>
  <c r="T61" i="12"/>
  <c r="T218" i="12"/>
  <c r="K131" i="12"/>
  <c r="J52" i="12"/>
  <c r="J225" i="12"/>
  <c r="O131" i="12"/>
  <c r="O225" i="12"/>
  <c r="J24" i="12"/>
  <c r="J12" i="12" s="1"/>
  <c r="J169" i="12"/>
  <c r="H10" i="11"/>
  <c r="G10" i="11"/>
  <c r="K193" i="3"/>
  <c r="J183" i="3"/>
  <c r="K183" i="3"/>
  <c r="K227" i="3"/>
  <c r="K38" i="3"/>
  <c r="K26" i="3"/>
  <c r="K14" i="3"/>
  <c r="K178" i="4"/>
  <c r="J168" i="4"/>
  <c r="K168" i="4"/>
  <c r="K212" i="4"/>
  <c r="K14" i="4"/>
  <c r="T236" i="12" l="1"/>
  <c r="Q229" i="12"/>
  <c r="T229" i="12" s="1"/>
  <c r="Q226" i="12"/>
  <c r="T226" i="12" s="1"/>
  <c r="T193" i="12"/>
  <c r="Q190" i="12"/>
  <c r="T190" i="12" s="1"/>
  <c r="O169" i="12"/>
  <c r="Q183" i="12"/>
  <c r="T183" i="12" s="1"/>
  <c r="Q175" i="12"/>
  <c r="T175" i="12" s="1"/>
  <c r="Q170" i="12"/>
  <c r="T170" i="12" s="1"/>
  <c r="Q171" i="12"/>
  <c r="T171" i="12" s="1"/>
  <c r="Q163" i="12"/>
  <c r="T163" i="12" s="1"/>
  <c r="Q145" i="12"/>
  <c r="T145" i="12" s="1"/>
  <c r="Q138" i="12"/>
  <c r="T138" i="12" s="1"/>
  <c r="Q128" i="12"/>
  <c r="Q127" i="12"/>
  <c r="T127" i="12" s="1"/>
  <c r="Q120" i="12"/>
  <c r="T120" i="12" s="1"/>
  <c r="N113" i="12"/>
  <c r="O113" i="12"/>
  <c r="Q116" i="12"/>
  <c r="T116" i="12" s="1"/>
  <c r="N98" i="12"/>
  <c r="N52" i="12" s="1"/>
  <c r="N51" i="12" s="1"/>
  <c r="O98" i="12"/>
  <c r="O52" i="12" s="1"/>
  <c r="K52" i="12"/>
  <c r="K51" i="12" s="1"/>
  <c r="K11" i="12" s="1"/>
  <c r="Q91" i="12"/>
  <c r="T91" i="12" s="1"/>
  <c r="Q89" i="12"/>
  <c r="T89" i="12" s="1"/>
  <c r="Q67" i="12"/>
  <c r="T67" i="12" s="1"/>
  <c r="T57" i="12"/>
  <c r="Q57" i="12"/>
  <c r="O12" i="12"/>
  <c r="Q13" i="12"/>
  <c r="T13" i="12" s="1"/>
  <c r="N12" i="12"/>
  <c r="Q29" i="12"/>
  <c r="T29" i="12" s="1"/>
  <c r="Q24" i="12"/>
  <c r="T24" i="12" s="1"/>
  <c r="Q225" i="12"/>
  <c r="T225" i="12" s="1"/>
  <c r="T114" i="12"/>
  <c r="M161" i="12"/>
  <c r="Q161" i="12" s="1"/>
  <c r="T128" i="12"/>
  <c r="T96" i="12"/>
  <c r="M169" i="12"/>
  <c r="L12" i="12"/>
  <c r="L52" i="12"/>
  <c r="M113" i="12"/>
  <c r="L113" i="12"/>
  <c r="L169" i="12"/>
  <c r="L131" i="12"/>
  <c r="Q131" i="12" s="1"/>
  <c r="M214" i="12"/>
  <c r="T214" i="12" s="1"/>
  <c r="T215" i="12"/>
  <c r="L98" i="12"/>
  <c r="M98" i="12"/>
  <c r="M52" i="12" s="1"/>
  <c r="T167" i="12"/>
  <c r="J51" i="12"/>
  <c r="J11" i="12" s="1"/>
  <c r="D22" i="8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O51" i="12" l="1"/>
  <c r="O11" i="12" s="1"/>
  <c r="M51" i="12"/>
  <c r="M11" i="12" s="1"/>
  <c r="Q169" i="12"/>
  <c r="T169" i="12" s="1"/>
  <c r="T161" i="12"/>
  <c r="T131" i="12"/>
  <c r="L51" i="12"/>
  <c r="L11" i="12" s="1"/>
  <c r="Q113" i="12"/>
  <c r="T113" i="12" s="1"/>
  <c r="Q98" i="12"/>
  <c r="T98" i="12" s="1"/>
  <c r="Q52" i="12"/>
  <c r="T52" i="12" s="1"/>
  <c r="Q12" i="12"/>
  <c r="T12" i="12" s="1"/>
  <c r="N11" i="12"/>
  <c r="J111" i="4"/>
  <c r="L10" i="6"/>
  <c r="K144" i="4"/>
  <c r="K125" i="4"/>
  <c r="K123" i="4"/>
  <c r="Q51" i="12" l="1"/>
  <c r="T51" i="12" s="1"/>
  <c r="Q11" i="12"/>
  <c r="T11" i="12" s="1"/>
  <c r="K112" i="4"/>
  <c r="K114" i="4"/>
  <c r="K111" i="4" s="1"/>
  <c r="J108" i="4"/>
  <c r="J107" i="4" s="1"/>
  <c r="K103" i="4"/>
  <c r="J101" i="4"/>
  <c r="J98" i="4" s="1"/>
  <c r="K102" i="4"/>
  <c r="J95" i="4"/>
  <c r="J94" i="4" s="1"/>
  <c r="J92" i="4"/>
  <c r="J91" i="4" s="1"/>
  <c r="K244" i="4"/>
  <c r="I28" i="6" s="1"/>
  <c r="J244" i="4"/>
  <c r="H28" i="6" s="1"/>
  <c r="K238" i="4"/>
  <c r="I27" i="6" s="1"/>
  <c r="J238" i="4"/>
  <c r="H27" i="6" s="1"/>
  <c r="K233" i="4"/>
  <c r="J233" i="4"/>
  <c r="K228" i="4"/>
  <c r="J228" i="4"/>
  <c r="K226" i="4"/>
  <c r="J226" i="4"/>
  <c r="K223" i="4"/>
  <c r="J223" i="4"/>
  <c r="K215" i="4"/>
  <c r="I25" i="6" s="1"/>
  <c r="J215" i="4"/>
  <c r="H25" i="6" s="1"/>
  <c r="K211" i="4"/>
  <c r="I24" i="6" s="1"/>
  <c r="J212" i="4"/>
  <c r="J211" i="4" s="1"/>
  <c r="H24" i="6" s="1"/>
  <c r="K207" i="4"/>
  <c r="I23" i="6" s="1"/>
  <c r="J207" i="4"/>
  <c r="H23" i="6" s="1"/>
  <c r="K198" i="4"/>
  <c r="J198" i="4"/>
  <c r="J197" i="4"/>
  <c r="K194" i="4"/>
  <c r="J194" i="4"/>
  <c r="K190" i="4"/>
  <c r="J190" i="4"/>
  <c r="K188" i="4"/>
  <c r="K187" i="4" s="1"/>
  <c r="J188" i="4"/>
  <c r="J187" i="4" s="1"/>
  <c r="K184" i="4"/>
  <c r="J184" i="4"/>
  <c r="K180" i="4"/>
  <c r="J180" i="4"/>
  <c r="K177" i="4"/>
  <c r="J177" i="4"/>
  <c r="K174" i="4"/>
  <c r="J174" i="4"/>
  <c r="K172" i="4"/>
  <c r="K171" i="4" s="1"/>
  <c r="J172" i="4"/>
  <c r="J171" i="4" s="1"/>
  <c r="K167" i="4"/>
  <c r="J167" i="4"/>
  <c r="K162" i="4"/>
  <c r="J162" i="4"/>
  <c r="K160" i="4"/>
  <c r="J160" i="4"/>
  <c r="K153" i="4"/>
  <c r="I20" i="6" s="1"/>
  <c r="J153" i="4"/>
  <c r="H20" i="6" s="1"/>
  <c r="K149" i="4"/>
  <c r="Q149" i="4" s="1"/>
  <c r="J149" i="4"/>
  <c r="K148" i="4"/>
  <c r="J148" i="4"/>
  <c r="J147" i="4"/>
  <c r="K145" i="4"/>
  <c r="J145" i="4"/>
  <c r="K142" i="4"/>
  <c r="J142" i="4"/>
  <c r="K135" i="4"/>
  <c r="K132" i="4" s="1"/>
  <c r="J135" i="4"/>
  <c r="J132" i="4" s="1"/>
  <c r="K124" i="4"/>
  <c r="K121" i="4"/>
  <c r="J121" i="4"/>
  <c r="K119" i="4"/>
  <c r="J119" i="4"/>
  <c r="I119" i="4"/>
  <c r="K117" i="4"/>
  <c r="J117" i="4"/>
  <c r="I117" i="4"/>
  <c r="K115" i="4"/>
  <c r="J115" i="4"/>
  <c r="I115" i="4"/>
  <c r="K107" i="4"/>
  <c r="K104" i="4"/>
  <c r="J104" i="4"/>
  <c r="K96" i="4"/>
  <c r="K94" i="4" s="1"/>
  <c r="K91" i="4"/>
  <c r="K89" i="4"/>
  <c r="J89" i="4"/>
  <c r="K67" i="4"/>
  <c r="J67" i="4"/>
  <c r="K66" i="4"/>
  <c r="J66" i="4"/>
  <c r="Q65" i="4"/>
  <c r="K65" i="4"/>
  <c r="J65" i="4"/>
  <c r="K64" i="4"/>
  <c r="J64" i="4"/>
  <c r="K61" i="4"/>
  <c r="J61" i="4"/>
  <c r="K57" i="4"/>
  <c r="J57" i="4"/>
  <c r="K54" i="4"/>
  <c r="J54" i="4"/>
  <c r="K53" i="4"/>
  <c r="J53" i="4"/>
  <c r="K48" i="4"/>
  <c r="K45" i="4" s="1"/>
  <c r="I16" i="6" s="1"/>
  <c r="J48" i="4"/>
  <c r="J45" i="4" s="1"/>
  <c r="H16" i="6" s="1"/>
  <c r="K43" i="4"/>
  <c r="K42" i="4" s="1"/>
  <c r="I15" i="6" s="1"/>
  <c r="J43" i="4"/>
  <c r="J42" i="4" s="1"/>
  <c r="H15" i="6" s="1"/>
  <c r="K40" i="4"/>
  <c r="K39" i="4" s="1"/>
  <c r="I14" i="6" s="1"/>
  <c r="J40" i="4"/>
  <c r="J39" i="4" s="1"/>
  <c r="H14" i="6" s="1"/>
  <c r="J37" i="4"/>
  <c r="K32" i="4"/>
  <c r="J32" i="4"/>
  <c r="K29" i="4"/>
  <c r="J29" i="4"/>
  <c r="K27" i="4"/>
  <c r="J27" i="4"/>
  <c r="K22" i="4"/>
  <c r="J22" i="4"/>
  <c r="K21" i="4"/>
  <c r="J21" i="4"/>
  <c r="K18" i="4"/>
  <c r="J18" i="4"/>
  <c r="K16" i="4"/>
  <c r="J16" i="4"/>
  <c r="N11" i="4"/>
  <c r="K98" i="4" l="1"/>
  <c r="J158" i="4"/>
  <c r="H21" i="6" s="1"/>
  <c r="K222" i="4"/>
  <c r="I26" i="6" s="1"/>
  <c r="K13" i="4"/>
  <c r="I12" i="6" s="1"/>
  <c r="J24" i="4"/>
  <c r="H13" i="6" s="1"/>
  <c r="J124" i="4"/>
  <c r="J13" i="4"/>
  <c r="H12" i="6" s="1"/>
  <c r="K24" i="4"/>
  <c r="I13" i="6" s="1"/>
  <c r="J128" i="4"/>
  <c r="H19" i="6" s="1"/>
  <c r="K128" i="4"/>
  <c r="I19" i="6" s="1"/>
  <c r="J222" i="4"/>
  <c r="H26" i="6" s="1"/>
  <c r="K158" i="4"/>
  <c r="I21" i="6" s="1"/>
  <c r="K166" i="4"/>
  <c r="I22" i="6" s="1"/>
  <c r="J166" i="4"/>
  <c r="H22" i="6" s="1"/>
  <c r="K52" i="4"/>
  <c r="I18" i="6" s="1"/>
  <c r="K98" i="3"/>
  <c r="K12" i="4" l="1"/>
  <c r="I17" i="6"/>
  <c r="I11" i="6"/>
  <c r="H11" i="6"/>
  <c r="J12" i="4"/>
  <c r="J52" i="4"/>
  <c r="K51" i="4"/>
  <c r="J259" i="3"/>
  <c r="J253" i="3"/>
  <c r="J248" i="3"/>
  <c r="J243" i="3"/>
  <c r="J241" i="3"/>
  <c r="J238" i="3"/>
  <c r="J230" i="3"/>
  <c r="J227" i="3"/>
  <c r="J226" i="3"/>
  <c r="J222" i="3"/>
  <c r="J213" i="3"/>
  <c r="J212" i="3"/>
  <c r="J209" i="3"/>
  <c r="J205" i="3"/>
  <c r="J203" i="3"/>
  <c r="J202" i="3" s="1"/>
  <c r="J199" i="3"/>
  <c r="J195" i="3"/>
  <c r="J192" i="3"/>
  <c r="J189" i="3"/>
  <c r="J187" i="3"/>
  <c r="J186" i="3"/>
  <c r="J182" i="3"/>
  <c r="J177" i="3"/>
  <c r="J175" i="3"/>
  <c r="J168" i="3"/>
  <c r="J164" i="3"/>
  <c r="J163" i="3"/>
  <c r="J162" i="3"/>
  <c r="J160" i="3"/>
  <c r="J156" i="3"/>
  <c r="J149" i="3"/>
  <c r="J146" i="3"/>
  <c r="J140" i="3"/>
  <c r="J139" i="3"/>
  <c r="J131" i="3"/>
  <c r="J129" i="3"/>
  <c r="J127" i="3"/>
  <c r="J125" i="3"/>
  <c r="J119" i="3"/>
  <c r="J114" i="3"/>
  <c r="J111" i="3"/>
  <c r="J109" i="3"/>
  <c r="J108" i="3"/>
  <c r="J101" i="3" s="1"/>
  <c r="J96" i="3"/>
  <c r="J92" i="3"/>
  <c r="J90" i="3"/>
  <c r="J68" i="3"/>
  <c r="J67" i="3"/>
  <c r="J66" i="3"/>
  <c r="J65" i="3"/>
  <c r="J62" i="3"/>
  <c r="J58" i="3"/>
  <c r="J55" i="3"/>
  <c r="J54" i="3"/>
  <c r="J49" i="3"/>
  <c r="J46" i="3" s="1"/>
  <c r="J44" i="3"/>
  <c r="J43" i="3" s="1"/>
  <c r="J41" i="3"/>
  <c r="J40" i="3" s="1"/>
  <c r="J38" i="3"/>
  <c r="J33" i="3"/>
  <c r="J29" i="3"/>
  <c r="J27" i="3"/>
  <c r="J22" i="3"/>
  <c r="J21" i="3"/>
  <c r="J18" i="3"/>
  <c r="J16" i="3"/>
  <c r="J13" i="3" s="1"/>
  <c r="K11" i="4" l="1"/>
  <c r="O11" i="4" s="1"/>
  <c r="I10" i="6"/>
  <c r="M10" i="6" s="1"/>
  <c r="J173" i="3"/>
  <c r="J136" i="3"/>
  <c r="J51" i="4"/>
  <c r="J11" i="4" s="1"/>
  <c r="H18" i="6"/>
  <c r="H17" i="6" s="1"/>
  <c r="H10" i="6" s="1"/>
  <c r="J24" i="3"/>
  <c r="J12" i="3" s="1"/>
  <c r="J181" i="3"/>
  <c r="J237" i="3"/>
  <c r="J142" i="3"/>
  <c r="J53" i="3"/>
  <c r="K66" i="3"/>
  <c r="J52" i="3" l="1"/>
  <c r="J11" i="3" s="1"/>
  <c r="K164" i="3"/>
  <c r="S164" i="3" s="1"/>
  <c r="K163" i="3"/>
  <c r="K131" i="3" l="1"/>
  <c r="K156" i="3" l="1"/>
  <c r="K54" i="3"/>
  <c r="K65" i="3"/>
  <c r="K259" i="3"/>
  <c r="K253" i="3"/>
  <c r="K248" i="3"/>
  <c r="K243" i="3"/>
  <c r="K241" i="3"/>
  <c r="K238" i="3"/>
  <c r="K230" i="3"/>
  <c r="K226" i="3"/>
  <c r="K222" i="3"/>
  <c r="K213" i="3"/>
  <c r="K209" i="3"/>
  <c r="K205" i="3"/>
  <c r="K203" i="3"/>
  <c r="K202" i="3" s="1"/>
  <c r="K199" i="3"/>
  <c r="K195" i="3"/>
  <c r="K192" i="3"/>
  <c r="K189" i="3"/>
  <c r="K187" i="3"/>
  <c r="K186" i="3" s="1"/>
  <c r="K182" i="3"/>
  <c r="K177" i="3"/>
  <c r="K175" i="3"/>
  <c r="K168" i="3"/>
  <c r="K160" i="3"/>
  <c r="K149" i="3"/>
  <c r="K146" i="3" s="1"/>
  <c r="K140" i="3"/>
  <c r="K139" i="3"/>
  <c r="K129" i="3"/>
  <c r="I129" i="3"/>
  <c r="K127" i="3"/>
  <c r="I127" i="3"/>
  <c r="K125" i="3"/>
  <c r="I125" i="3"/>
  <c r="K119" i="3"/>
  <c r="K114" i="3"/>
  <c r="K111" i="3"/>
  <c r="K109" i="3"/>
  <c r="K108" i="3"/>
  <c r="K96" i="3"/>
  <c r="K92" i="3"/>
  <c r="K90" i="3"/>
  <c r="K68" i="3"/>
  <c r="K67" i="3"/>
  <c r="S66" i="3"/>
  <c r="K62" i="3"/>
  <c r="K58" i="3"/>
  <c r="K55" i="3"/>
  <c r="K49" i="3"/>
  <c r="K46" i="3" s="1"/>
  <c r="K44" i="3"/>
  <c r="K43" i="3" s="1"/>
  <c r="K41" i="3"/>
  <c r="K40" i="3" s="1"/>
  <c r="K33" i="3"/>
  <c r="K29" i="3"/>
  <c r="K27" i="3"/>
  <c r="K22" i="3"/>
  <c r="K21" i="3"/>
  <c r="K18" i="3"/>
  <c r="K16" i="3"/>
  <c r="P11" i="3"/>
  <c r="K181" i="3" l="1"/>
  <c r="K142" i="3"/>
  <c r="K173" i="3"/>
  <c r="K136" i="3"/>
  <c r="K13" i="3"/>
  <c r="K24" i="3"/>
  <c r="K101" i="3"/>
  <c r="K237" i="3"/>
  <c r="K53" i="3" l="1"/>
  <c r="K52" i="3" s="1"/>
  <c r="K12" i="3"/>
  <c r="K11" i="3" l="1"/>
  <c r="Q11" i="3" s="1"/>
</calcChain>
</file>

<file path=xl/sharedStrings.xml><?xml version="1.0" encoding="utf-8"?>
<sst xmlns="http://schemas.openxmlformats.org/spreadsheetml/2006/main" count="8892" uniqueCount="596">
  <si>
    <t>RENCANA PROGRAM DAN KEGIATAN OPD TAHUN 2018</t>
  </si>
  <si>
    <t>PROVINSI SUMATERA BARAT</t>
  </si>
  <si>
    <t>OPD</t>
  </si>
  <si>
    <t>: DINAS PEKERJAAN UMUM DAN PENATAAN RUANG</t>
  </si>
  <si>
    <t>TOTAL</t>
  </si>
  <si>
    <t>01</t>
  </si>
  <si>
    <t>Program Pelayanan Administrasi Perkantoran</t>
  </si>
  <si>
    <t>Terlaksananya Kegiatan Administrasi Perkantoran</t>
  </si>
  <si>
    <t>08</t>
  </si>
  <si>
    <t>Rapat-rapat koordinasi dan konsultasi Ke dalam Daerah dan Keluar daerah</t>
  </si>
  <si>
    <t>02</t>
  </si>
  <si>
    <t>Penyediaan jasa komunikasi, sumber daya air dan listrik</t>
  </si>
  <si>
    <t>Tersedianya dana untuk layanan jasa komunikasi (Telpon), Air &amp; Listrik pada 1 Dinas selama 1 tahun</t>
  </si>
  <si>
    <t>03</t>
  </si>
  <si>
    <t>Penyediaan jasa kebersihan, pengaman dan sopir kantor</t>
  </si>
  <si>
    <t>Tersedia bahan dan perlengkapan untuk kebersihan, pengaman dan sopir kantor selama 1 tahun</t>
  </si>
  <si>
    <t>04</t>
  </si>
  <si>
    <t>Penyediaan alat tulis kantor</t>
  </si>
  <si>
    <t>Tersedia ATK pada 1 Dinas selama 1 tahun</t>
  </si>
  <si>
    <t>05</t>
  </si>
  <si>
    <t>Penyediaan barang cetakan dan penggandaan</t>
  </si>
  <si>
    <t>Tersedianya barang cetakan pada 1 dinas  selama 1 tahun</t>
  </si>
  <si>
    <t>09</t>
  </si>
  <si>
    <t>Penyediaan Jasa Informasi, Dokumentasi, dan Publikasi</t>
  </si>
  <si>
    <t>Terlaksananya Kegiatan Informasi, Dokumentasi dan Publikasi</t>
  </si>
  <si>
    <t>Penyediaan jasa surat menyurat</t>
  </si>
  <si>
    <t>Tersedia bahan dan perlengkapan untuk mendukung kelancaran administrasi surat menyurat pada 1 Dinas selama 1 tahun</t>
  </si>
  <si>
    <t>06</t>
  </si>
  <si>
    <t>Penyediaan komponen instalasi listrik / penerangan Bangunan kantor</t>
  </si>
  <si>
    <t>Tersedianya komponen instalasi linstrik/penerangan  selama 1 tahun</t>
  </si>
  <si>
    <t>07</t>
  </si>
  <si>
    <t>Penyediaan bahan bacaan &amp; peraturan Perundang-Undangan</t>
  </si>
  <si>
    <t>Tersedia beberapa jenis media cetak lokal serta peraturan perUU yang terbaru selama 1 tahun untuk 1 Dinas</t>
  </si>
  <si>
    <t>Pengadaan Peralatan dan Perlengkapan Kantor</t>
  </si>
  <si>
    <t>Tersedianya Komputer, Notebok dan Printer</t>
  </si>
  <si>
    <t>Program Peningkatan Sarana dan Prasarana Aparatur</t>
  </si>
  <si>
    <t>Meningkatnya Kelancaran Tugas Aparatur</t>
  </si>
  <si>
    <t>Pemeliharaan rutin/berkala kendaraan Dinas/Operasional</t>
  </si>
  <si>
    <t>Terpeliharanya rutin/berkala kendaraan Dinas/Operasional</t>
  </si>
  <si>
    <t>Terlaksananya Pemeliharaan Rutin/Berkala Gedung Kantor</t>
  </si>
  <si>
    <t>Pengadaan Kendaraan Dinas/Operasional</t>
  </si>
  <si>
    <t>Tersedianya Kendaraan Dinas/Operasional</t>
  </si>
  <si>
    <t>Pengelolaan, Pengawasan dan Pengendalian Asset SKPD</t>
  </si>
  <si>
    <t>Terlaksananya Pengelolaan, Pengawasan dan Pengendalian Aset SKPD</t>
  </si>
  <si>
    <t>Pembangunan Fasilitas Penunjang Kantor Dinas PU dan Penataan Ruang Sumatera Barat</t>
  </si>
  <si>
    <t>Terlaksananya Pembangunan Fasilitas Penunjang Kantor Dinas PU dan Penataan Ruang Sumatera Barat</t>
  </si>
  <si>
    <t>-</t>
  </si>
  <si>
    <t>Pembangunan Pagar Kantor Dinas PU dan Penataan Ruang Sumbar</t>
  </si>
  <si>
    <t>Terlaksananya Pembangunan Pagar Kantor Dinas PU dan Penataan Ruang Sumbar</t>
  </si>
  <si>
    <t>Pengawasan Pembangunan Pagar Kantor Dinas PU dan Penataan Ruang Sumbar</t>
  </si>
  <si>
    <t>Terlaksananya Pengawasan Pembangunan Pagar Kantor Dinas PU dan Penataan Ruang Sumbar</t>
  </si>
  <si>
    <t>Renovasi Rumah Dinas Kepala Dinas PU dan Penataan Ruang Sumatera Barat</t>
  </si>
  <si>
    <t>Renovasi Rumah Dinas Kepala Dinas PU dan Penataan Ruang</t>
  </si>
  <si>
    <t>Terlaksananya Renovasi Rumah Dinas Kepala Dinas PU dan Penataan Ruang</t>
  </si>
  <si>
    <t>Pengawasan Renovasi Rumah Dinas Kepala Dinas PU dan Penataan Ruang</t>
  </si>
  <si>
    <t>Terlaksananya Pengawasan Renovasi Rumah Dinas Kepala Dinas PU dan Penataan Ruang</t>
  </si>
  <si>
    <t xml:space="preserve">Pemeliharaan rutin/berkala Peralatan dan Perlengkapan Kantor </t>
  </si>
  <si>
    <t>Terlaksananya Pemeliharaan rutin/berkala Peralatan dan Perlengkapan Kantor</t>
  </si>
  <si>
    <t>Pengadaan Komputer dan Jaringan Komputerisasi</t>
  </si>
  <si>
    <t>Program Peningkatan Disiplin Aparatur</t>
  </si>
  <si>
    <t>Tercapainya Peningkatan Disiplin Aparatur</t>
  </si>
  <si>
    <t>Pengadaan pakaian dinas beserta perlengkapannya</t>
  </si>
  <si>
    <t>Tersedia pakaian dinas beserta perlengkapannya</t>
  </si>
  <si>
    <t>Program Peningkatan  Sumber Daya Aparatur</t>
  </si>
  <si>
    <t>Terciptanya Peningkatan SDM Aparatur</t>
  </si>
  <si>
    <t>Bimbingan Teknis Implementasi Peraturan Perundang-undangan</t>
  </si>
  <si>
    <t xml:space="preserve">Terlaksananya sosialisasi peratura per UU dengan bertambahnya kapasitas SDM </t>
  </si>
  <si>
    <t xml:space="preserve">Program Peningkatan Pengembangan Sistem Pelayanan Capaian Kinerja dan Keuangan </t>
  </si>
  <si>
    <t>Meningkatnya Tertib Administrasi Keuangan</t>
  </si>
  <si>
    <t>Penyusunan Perencanaan dan Penganggaran SKPD</t>
  </si>
  <si>
    <t>Monitoring dan Evaluasi Program dan Kegiatan SKPD</t>
  </si>
  <si>
    <t>Terlaksananya Monev Kinerja dan Pelaporan Program Tahunan</t>
  </si>
  <si>
    <t xml:space="preserve">Penatausahaan keuangan SKPD </t>
  </si>
  <si>
    <t xml:space="preserve">Terlaksananya administrasi keuangan secara baik dan benar </t>
  </si>
  <si>
    <t>Penyusunan Laporan Capaian Kinerja dan Ikhtisar Realisasi Kinerja SKPD</t>
  </si>
  <si>
    <t>URUSAN PEKERJAAN UMUM DAN PENATAAN RUANG</t>
  </si>
  <si>
    <t>Program Pembangunan Jalan dan Jembatan Provinsi</t>
  </si>
  <si>
    <t>Terlaksananya Peningkatan Kualitas dan Kuantitas Sarana Jalan dan Jembatan untuk Ekonomi Rakyat Provinsi Sumatera Barat</t>
  </si>
  <si>
    <t>Pengendalian Pelaksanaan  Jalan /Jembatan di Sumatera Barat</t>
  </si>
  <si>
    <t>Terlaksananya Pengendalian Pelaksanaan Program Pembangunan Jalan / Jembatan Provinsi</t>
  </si>
  <si>
    <t>Penyusunan Database dan Survey Jalan dan Jembatan Provinsi</t>
  </si>
  <si>
    <t xml:space="preserve">Paket Survey IRMS </t>
  </si>
  <si>
    <t xml:space="preserve">Paket Survey BMS </t>
  </si>
  <si>
    <t>Perencananaan Pembangunan  Jembatan Provinsi</t>
  </si>
  <si>
    <t>Paket DED Jembatan Lubuk Gadang II (P.088)</t>
  </si>
  <si>
    <t>Paket DED Jembatan di Ruas Jalan Pasar Baru - Alahan Panjang (P.073)</t>
  </si>
  <si>
    <t>1 Paket</t>
  </si>
  <si>
    <t>Perencananaan Pembangunan Jalan Provinsi</t>
  </si>
  <si>
    <t>Penyusunan Dokumen Lingkungan Hidup Kegiatan Jalan dan Jembatan Provinsi Sumatera Barat</t>
  </si>
  <si>
    <t xml:space="preserve">Paket Pengawasan Pelaksanaan Pengelolaan dan Pemantauan Dokumen Lingkungan </t>
  </si>
  <si>
    <t>Kegiatan Monitoring dan Pengawasan Perizinan Utilitas Umum</t>
  </si>
  <si>
    <t>Terlaksananya Monitoring dan Pengawasan Perizinan Utilitas Umum</t>
  </si>
  <si>
    <t>1 Laporan</t>
  </si>
  <si>
    <t>Pengadaan Lahan Untuk Pembangunan Jalan/Jembatan Provinsi</t>
  </si>
  <si>
    <t>Tersedianya Lahan Untuk Pembangunan Jalan dan Jembatan Provinsi</t>
  </si>
  <si>
    <t>Pengadaan Lahan Untuk Pembangunan Infrastruktur Strategis</t>
  </si>
  <si>
    <t xml:space="preserve">Tersedianya Lahan Untuk Pembangunan Infrastruktur Strategis </t>
  </si>
  <si>
    <t>Pengawasan Pembangunan Jalan &amp; Jembatan Provinsi</t>
  </si>
  <si>
    <t>Terkendalinya Pembangunan Jalan dan Jembatan</t>
  </si>
  <si>
    <t>Paket Pengawasan Jalan Provinsi wilayah I</t>
  </si>
  <si>
    <t>Paket Pengawasan Jalan Provinsi wilayah II</t>
  </si>
  <si>
    <t>Paket Pengawasan Jalan Provinsi wilayah III</t>
  </si>
  <si>
    <t>Paket Pengawasan Jalan Provinsi wilayah IV</t>
  </si>
  <si>
    <t>Paket Pengawasan Jembatan Provinsi wilayah I</t>
  </si>
  <si>
    <t>Paket Pengawasan Jembatan Provinsi wilayah II</t>
  </si>
  <si>
    <t>Peningkatan Jalan Provinsi DAK</t>
  </si>
  <si>
    <t>Terlaksananya Peningkatan Jalan Provinsi (DAK)</t>
  </si>
  <si>
    <t>Tidak di Akumulasikan ke Pagu Dana</t>
  </si>
  <si>
    <t>Paket Pembangunan Teluk Bayur - Nipah -Purus DAK (P.098)</t>
  </si>
  <si>
    <t>2,5 Km</t>
  </si>
  <si>
    <t>Paket Pembangunan Jalan  Lubuk Sikaping - Talu DAK (P. 096)</t>
  </si>
  <si>
    <t>1 Km</t>
  </si>
  <si>
    <t>Paket Pembangunan Jalan Bungo Tanjung - Teluk Tapang DAK (P. 097)</t>
  </si>
  <si>
    <t>5 Km</t>
  </si>
  <si>
    <t>Paket Pembangunan Jembatan Muaro Air 1 DAK (P.073)</t>
  </si>
  <si>
    <t>40 m</t>
  </si>
  <si>
    <t>Paket Pembangunan Jalan Pasar Baru - Alahan Panjang DAK (P. 073)</t>
  </si>
  <si>
    <t>Paket Pembangunan Jalan Abai Sangir - Sei. Dareh DAK (P. 056,3)</t>
  </si>
  <si>
    <t>Paket Peningkatan Kapasitas Jalan Bts. Kota Payakumbuh - Sitangkai DAK (P. 044)</t>
  </si>
  <si>
    <t>Paket Peningkatan Kapasitas Jalan Rao - Rokan (Batas Riau) DAK (P. 095)</t>
  </si>
  <si>
    <t>Paket Peningkatan Kapasitas Jalan  Matur - Palembayan DAK (P. 080)</t>
  </si>
  <si>
    <t>Paket Peningkatan Kapasitas Jalan Simpang Napar - Bukit Bual - Tanjung Ampalu DAK(P. 091)</t>
  </si>
  <si>
    <t>Paket Peningkatan Kapasitas Jalan  Guguk Cino - Sawahlunto (Lapangan Segitiga) DAK (P. 038)</t>
  </si>
  <si>
    <t>Paket Pembangunan Jalan Pintu Angin - Labuah Saiyo (P.094)</t>
  </si>
  <si>
    <t>Paket Pembangunan Simpang SP II - Kantor Camat (P.103)</t>
  </si>
  <si>
    <t>Survey Pekerjaan Mendesak dan Bencana Alam (Swakelola)</t>
  </si>
  <si>
    <t>Terlaksananya Survey Pekerjaan Mendesak dan Bencana Alam</t>
  </si>
  <si>
    <t>Pembangunan Jembatan Provinsi Wilayah - I</t>
  </si>
  <si>
    <t>Terlaksananya Pembangunan Jembatan Provinsi Wilayah - I</t>
  </si>
  <si>
    <t>Paket Pembangunan Jembatan Lolong (P. 099)</t>
  </si>
  <si>
    <t>Pembangunan Jembatan Provinsi Wilayah - II</t>
  </si>
  <si>
    <t>Terlaksananya Pembangunan Jembatan Provinsi Wilayah - II</t>
  </si>
  <si>
    <t>Pembangunan Jembatan Batang Sopan (P.076)</t>
  </si>
  <si>
    <t>25 m</t>
  </si>
  <si>
    <t>Darman Sahladi</t>
  </si>
  <si>
    <t>Paket Pembangunan Jembatan Lubuk Gadang (P.088)</t>
  </si>
  <si>
    <t>Pembangunan Jalan Provinsi di Wilayah Kab. Solok dan Kota Solok</t>
  </si>
  <si>
    <t>Terlaksananya Pembangunan Jalan dan Jembatan di Wilayah Kab. Solok dan Kota Solok</t>
  </si>
  <si>
    <t>Paket Peningkatan Jalan Pintu Angin - Labuah Saiyo (P. 094)</t>
  </si>
  <si>
    <t>Paket Peningkatan Jalan Sp. Ganting Payo - Batas Tanah Datar - Sumani  (P. 092)</t>
  </si>
  <si>
    <t>Paket Pembangunan Jalan Pasar Baru - Alahan Panjang (P. 073)</t>
  </si>
  <si>
    <t>2 Km</t>
  </si>
  <si>
    <t>3 Km</t>
  </si>
  <si>
    <t>Ahmad Rius, SH</t>
  </si>
  <si>
    <t>0,5 Km</t>
  </si>
  <si>
    <t>Pembangunan Jalan Provinsi di Wilayah Kab. Agam dan Kota Bukittinggi</t>
  </si>
  <si>
    <t>Terlaksananya Pembangunan Jalan Provinsi di Wilayah Kab. Agam dan Kota Bukittinggi</t>
  </si>
  <si>
    <t>Paket Peningkatan Jalan  Matur - Palembayan(P. 080)</t>
  </si>
  <si>
    <t>1,5 Km</t>
  </si>
  <si>
    <t>Paket Peningkatan Jalan Palembayan - Palupuh (Simp. Patai) (P. 081)</t>
  </si>
  <si>
    <t>Paket Peningkatan Jalan Palupuh - Pua gadih - Koto Tinggi (P. 090)</t>
  </si>
  <si>
    <t>Aristo Munandar</t>
  </si>
  <si>
    <t>Peningkatan Jalan Palupuh - Pua gadih - Koto Tinggi (P.090)</t>
  </si>
  <si>
    <t>Pelebaran Jalan Manggopoh - Padang Luar (Dari Bayur ke Maninjau) (P.025)</t>
  </si>
  <si>
    <t>Nofrizon</t>
  </si>
  <si>
    <t>Pembangunan Jalan Provinsi di Wilayah Kota Sawahlunto dan Kab. Tanah Datar</t>
  </si>
  <si>
    <t>Terlaksananya Pembangunan Jalan di Wilayah Kota Sawahlunto dan Kab. Tanah Datar</t>
  </si>
  <si>
    <t>Paket Peningkatan Jalan  Guguk Cino - Sawahlunto (Lapangan Segitiga) (P. 038)</t>
  </si>
  <si>
    <t>Paket Peningkatan Jalan Simpang Baso - Piladang (P.079)</t>
  </si>
  <si>
    <t>0,8 Km</t>
  </si>
  <si>
    <t>Pembangunan Jalan Provinsi di Wilayah Kab. Sijunjung dan Kab. Dharmasraya</t>
  </si>
  <si>
    <t>Terlaksananya Pembangunan Jalan di Wilayah Kab. Sijunjung dan Kab. Dharmasaraya</t>
  </si>
  <si>
    <t>Paket Pembangunan Jalan Simp. Koto Baru - Junction (P.012)</t>
  </si>
  <si>
    <t>Paket Pembangunan Jalan Abai Sangir - Sei. Dareh(P. 056,3)</t>
  </si>
  <si>
    <t>Peningkatan Jalan 2 Jalur di Depan Kantor Bupati Ruas  Jalan Tj. Ampalu - Sijunjung (P. 008)</t>
  </si>
  <si>
    <t>0,3 Km</t>
  </si>
  <si>
    <t>Widyatmo, SE</t>
  </si>
  <si>
    <t>Pembangunan Jalan Provinsi  di Wilayah Kab. 50 Kota dan Kota Payakumbuh</t>
  </si>
  <si>
    <t>Terlaksananya Pembangunan Jalan di Wilayah Kab. 50 Kota dan Kota Payakumbuh</t>
  </si>
  <si>
    <t>Paket Peningkatan Jalan  Lingkar Selatan (Payakumbuh)  (P. 084)*</t>
  </si>
  <si>
    <t>Pembangunan Jalan Provinsi Pangkalan Kapur Sembilan  (P. 076) II</t>
  </si>
  <si>
    <t>H. Yulfitni Dasiran</t>
  </si>
  <si>
    <t>Pembangunan Jalan Provinsi di Wilayah Kab. Padang Pariaman dan Kota Pariaman</t>
  </si>
  <si>
    <t>Terlaksananya Pembangunan Jalan dan Jembatan di Wilayah Kab. Padang Pariaman dan Kota Pariaman</t>
  </si>
  <si>
    <t>0,2 Km</t>
  </si>
  <si>
    <t>Paket Pembangunan Jalan Simp. Duku (Ketaping) - Pariaman  (P. 075)</t>
  </si>
  <si>
    <t>Pembangunan Jalan Provinsi di Wilayah Kab. Kepulauan Mentawai</t>
  </si>
  <si>
    <t>Terlaksananya Pembangunan Jalan Provinsi di Wilayah Kab. Kepulauan Mentawai</t>
  </si>
  <si>
    <t>Paket Pembangunan Jalan Kantor Camat-Berkat (P.104)</t>
  </si>
  <si>
    <t>Pembangunan Jalan Provinsi di Wilayah Kab. Solok Selatan</t>
  </si>
  <si>
    <t>Terlaksananya Pembangunan Jalan Provinsi di Wilayah Kab. Solok Selatan</t>
  </si>
  <si>
    <t>Pembangunan Jalan Provinsi di Wilayah Kab. Pasaman dan Kab. Pasaman Barat</t>
  </si>
  <si>
    <t>Terlaksananya Pembangunan Jalan di Wilayah Kab. Pasaman dan Kab. Pasaman Barat</t>
  </si>
  <si>
    <t>Paket Pembangunan Jalan Tapus - Muaro Sei. Lolo - Gelugur(P. 101)</t>
  </si>
  <si>
    <t>Muzli M Nur</t>
  </si>
  <si>
    <t>Zusmawati, SE, MM</t>
  </si>
  <si>
    <t>Pembangunan Jalan  Provinsi di Wilayah Kota Padang dan Kab. Pesisir Selatan</t>
  </si>
  <si>
    <t>Terlaksananya Pembangunan Jalan dan Jembatan di Wilayah Kota Padang dan Kab. Pesisir Selatan</t>
  </si>
  <si>
    <t>Lanjutan Jalan Provinsi Surantih - Kayu Aro - Langgai (P.086)</t>
  </si>
  <si>
    <t>Program Rehabilitasi  Pemeliharaan  Jalan dan Jembatan Provinsi</t>
  </si>
  <si>
    <t>Meningkatnya Rehabilitasi dan Pemeliharaan Jalan Provinsi</t>
  </si>
  <si>
    <t xml:space="preserve">Rehab/Pemel Rutin Jalan Propinsi  di Kab. Pasaman </t>
  </si>
  <si>
    <t>Terlaksananya Rehab/Pemel Rutin Jln Prop di Kab. Pasaman</t>
  </si>
  <si>
    <t>Rehab/Pemel Rutin Jalan Propinsi  di Kab. Pasaman Barat</t>
  </si>
  <si>
    <t>Terlaksananya Rehab/Pemel Rutin Jln Prop di Kab. Pasaman Barat</t>
  </si>
  <si>
    <t>Rehab/Pemel Rutin Jalan Propinsi  di Bukittinggi dan Kab. Agam Timur</t>
  </si>
  <si>
    <t>Terlaksananya Rehab/Pemel Rutin Jln Prop di  Bukittinggi dan Kab. Agam Timur</t>
  </si>
  <si>
    <t>Rehab/Pemel Rutin Jalan Propinsi di Kab. 50 Kota dan Kota Payakumbuh</t>
  </si>
  <si>
    <t>Terlaksananya Rehab/Pemel Rutin Jln Prop di Kab. 50 Kota dan Kota Payakumbuh</t>
  </si>
  <si>
    <t>122,02 Km</t>
  </si>
  <si>
    <t>Pembuatan Drainase dan Rigid Bahu Jalan Bts. Payakumbuh - Suliki - Koto Tinggi (P. 069,2)</t>
  </si>
  <si>
    <t>Terlaksananya Rehab/Pemel Rutin Jln Prop di Kab. Tnh Datar dan Kota Pdg Panjang</t>
  </si>
  <si>
    <t>Rehab/Pemel Rutin Jalan Propinsi di Kab. Padang Pariaman dan Kota Padang</t>
  </si>
  <si>
    <t>Terlaksananya Rehab/Pemel Rutin Jln Prop di Kab. Pdg Pariaman, Kota Pariaman dan Kota Padang</t>
  </si>
  <si>
    <t>Rehab/Pemel Rutin Jalan Provinsi di Kab. Solok dan Kota Solok</t>
  </si>
  <si>
    <t>Terlaksananya Rehab/Pemel Rutin Jln Prop di Kab. Solok dan Kota Solok</t>
  </si>
  <si>
    <t>Rehab/Pemel Rutin Jalan Propinsi di Kab. Solok Selatan</t>
  </si>
  <si>
    <t>Terlaksananya Rehab/Pemel Rutin Jln Prop di Kab. Solok Selatan</t>
  </si>
  <si>
    <t>Rehab/Pemel Rutin Jalan Propinsi di Kota Sawahlunto, Kab. Sijunjung dan Kab. Dharmasraya</t>
  </si>
  <si>
    <t>Terlaksananya Rehab/Pemel Rutin Jln Prop di Kota Swhlunto, Kab. Sjjg dan Kab. Dharmasraya</t>
  </si>
  <si>
    <t>10</t>
  </si>
  <si>
    <t xml:space="preserve">Rehab/Pemel Rutin Jalan Propinsi  di Kab. Agam </t>
  </si>
  <si>
    <t xml:space="preserve">Terlaksananya Rehab/Pemel Rutin Jln Prop di Kab. Agam </t>
  </si>
  <si>
    <t>Rehab/Pemel Rutin Jalan Provinsi di Kab. Pesisir Selatan dan Kab. Kepulauan Mentawai</t>
  </si>
  <si>
    <t>Terlaksananya Rehab/Pemel Rutin Jln Prop di Kab. Pesisir Selatan dan Kab. Kepulauan Mentawai</t>
  </si>
  <si>
    <t>Pemeliharaan Peralatan Jalan dan Jembatan</t>
  </si>
  <si>
    <t>Terkontrol dan Terpeliharanya Peralatan Jalan dan Jembatan</t>
  </si>
  <si>
    <t>25 Unit</t>
  </si>
  <si>
    <t>Rehabilitasi/Pemeliharaan Rutin Jembatan Propinsi dan Bangunan Pelengkap Jalan</t>
  </si>
  <si>
    <t>Rehabilitasi dan Pemeliharaan Jembatan Propinsi</t>
  </si>
  <si>
    <t>Penanganan Kondisi Kritis dan Pasca Bencana Alam Jalan dan Jembatan Provinsi</t>
  </si>
  <si>
    <t>Terlaksananya Penanganan Jalan dan Jembatan dalam Kondisi
Kritis akibat Bencana Alam</t>
  </si>
  <si>
    <t>9 Wil</t>
  </si>
  <si>
    <t xml:space="preserve">Pengadaan Peralatan dan Bahan Jalan dan Jembatan  </t>
  </si>
  <si>
    <t>8 Unit Pick Up, 4 Unit Backhoe Loader, 1 Excavator, 1000 Unit Bronjong, 2 Unit Triton</t>
  </si>
  <si>
    <t>Pemeliharaan Berkala Jalan Wilayah I</t>
  </si>
  <si>
    <t>Terlaksananya Pemeliharaan Berkala Jalan Wilayah I</t>
  </si>
  <si>
    <t>Pemeliharaan Berkala Jalan Wilayah II</t>
  </si>
  <si>
    <t>Terlaksananya Pemeliharaan Berkala Jalan Wilayah II</t>
  </si>
  <si>
    <t>Pemeliharaan khusus jalan provinsi rute Tour de Singkarak</t>
  </si>
  <si>
    <t>Terlaksananya Pemeliharaan khusus jalan provinsi rute Tour de Singkarak</t>
  </si>
  <si>
    <t xml:space="preserve">Program Peningkatan Sarana dan Prasarana Binamargaan </t>
  </si>
  <si>
    <t>Meningkatnya Pelayanan  Sarana dan Prasarana Ke Bina Margaan</t>
  </si>
  <si>
    <t>Kegiatan Pengadaan Alat - alat Ukur dan Laboratorium Ke Binamarga an.</t>
  </si>
  <si>
    <t>Meningkatnya kinerja laboratorium UPTD</t>
  </si>
  <si>
    <t>Kegiatan Pemeliharaan Alat - alat Ukur Laboratorium Ke Binamarga an</t>
  </si>
  <si>
    <t>Monitoring Pengendalian Mutu UPTD</t>
  </si>
  <si>
    <t>Terkendalinya mutu bahan untuk pekerjaan pembangunan jalan dan jembatan</t>
  </si>
  <si>
    <t>Program Pengelolaan dan Pengembangan SPAM Lintas Daerah Kab/Kota</t>
  </si>
  <si>
    <t>Meningkatnya Pengelolaan dan Pengembangan SPAM Lintas Daerah Kab/Kota</t>
  </si>
  <si>
    <t>Pembinaan dan Pengendalian Kegiatan Keciptakaryaan di Provinsi Sumatera Barat</t>
  </si>
  <si>
    <t>Telaksananya Pembinaan dan Pengendalian Kegiatan Keciptakaryaan di Provinsi Sumatera Barat</t>
  </si>
  <si>
    <t>Penyusunan Rencana Sistem Penyediaan Air Minum Regional Prov. Sumatera Barat</t>
  </si>
  <si>
    <t>Tersusunnya Perencanaan SPAM Regional</t>
  </si>
  <si>
    <t>1 Dokumen</t>
  </si>
  <si>
    <t>Penyusunan DED Sistem Penyediaan Air Minum (SPAM) Regional Kab. Agam dan Kota Bukittinggi</t>
  </si>
  <si>
    <t>Peningkatan Kinerja Pelayanan Sistem Pelayanan Air Minum Di Prov. Sumbar Wilayah I</t>
  </si>
  <si>
    <t>Terlaksananya Pembangunan S/P Air Minum di Wilayah I Prov. Sumatera Barat</t>
  </si>
  <si>
    <t>1 kws</t>
  </si>
  <si>
    <t>Pengembangan SPAM Kws. Singgalang - Kota Padang Panjang, Kab. Tanah Datar (lanjutan)</t>
  </si>
  <si>
    <t>Pembinaan Kegiatan PAMSIMAS di Provinsi Sumatera Barat</t>
  </si>
  <si>
    <t>Terlaksananya dukungan terhadap Program Nasional Pamsimas</t>
  </si>
  <si>
    <t>Program Penyelenggaraan Penataan Bangunan dan Lingkungan di Kawasan Strategis Daerah Provinsi dan Lintas Daerah Kabupaten/Kota</t>
  </si>
  <si>
    <t>Meningkatnya Penataan Bangunan dan Lingkungan di Kawasan Strategis Daerah Provinsi dan Lintas Daerah Kabupaten/Kota</t>
  </si>
  <si>
    <t>Lanjutan Pembangunan Stadium Utama Sumatera Barat</t>
  </si>
  <si>
    <t>Terlaksananya Lanjutan Pembangunan Main Stadium Sumatera Barat</t>
  </si>
  <si>
    <t>Pembangunan Stadium Utama Sumatera Barat (Tahap IV)</t>
  </si>
  <si>
    <t>Tersedianya Gedung Main Stadium Sumatera Barat</t>
  </si>
  <si>
    <t>Manajemen Konstruksi Pembangunan Stadium Utama Sumatera Barat</t>
  </si>
  <si>
    <t>Terlaksananya Manajemen Konstruksi Pembangunan Stadium Utama Sumatera Barat</t>
  </si>
  <si>
    <t>Review DED Stadium Utama Sumatera Barat</t>
  </si>
  <si>
    <t>Lanjutan Pembangunan Gedung Kebudayaan Sumatera Barat</t>
  </si>
  <si>
    <t>Terlaksananya Lanjutan Pembangunan Gedung Kebudayaan Sumatera Barat</t>
  </si>
  <si>
    <t xml:space="preserve">Tersedianya  Gedung Kebudayaan Sumatera Barat </t>
  </si>
  <si>
    <t>Terlaksananya Pengawasan Pembangunan Gedung Kebudayaan Sumatera Barat Zona B</t>
  </si>
  <si>
    <t>Pembangunan Gedung Utama Kantor Gubernur Sumatera Barat</t>
  </si>
  <si>
    <t>Dokumen Lingkungan Pembangunan Gedung Utama Kantor Gubernur Sumatera Barat</t>
  </si>
  <si>
    <t>Tersedianya  Dokumen Lingkungan Pembangunan Gedung Utama Kantor Gubernur Sumatera Barat</t>
  </si>
  <si>
    <t>Review DED Gedung Utama Kantor Gubernur Sumatera Barat</t>
  </si>
  <si>
    <t>Tersedianya Review DED Gedung Utama Kantor Gubernur</t>
  </si>
  <si>
    <t>Rekonstruksi Bangunan Pasca I</t>
  </si>
  <si>
    <t>Terlaksananya Rekonstruksi Bangunan Pasca I</t>
  </si>
  <si>
    <t>Pembangunan Gedung Pemberdayaan Wanita &amp; KB Provinsi Sumatera Barat (Lanjutan)</t>
  </si>
  <si>
    <t>Tersedianya  Gedung Pemberdayaan Wanita &amp; KB Provinsi Sumatera Barat (Lanjutan)</t>
  </si>
  <si>
    <t>Pengawasan Pembangunan Gedung Pemberdayaan Wanita &amp; KB Provinsi Sumatera Barat (Lanjutan)</t>
  </si>
  <si>
    <t>Lanjutan Pembangunan Gedung Convention Hall Sumatera Barat</t>
  </si>
  <si>
    <t>Terlaksananya Lanjutan Pembangunan Gedung Convention Hall Sumatera Barat</t>
  </si>
  <si>
    <t>Pembangunan Gedung Convention Hall Sumatera Barat (lanjutan)</t>
  </si>
  <si>
    <t>Tersedianya  Gedung Convention Hall Sumatera Barat</t>
  </si>
  <si>
    <t>Pengawasan Pembangunan Gedung Convention Hall Sumatera Barat</t>
  </si>
  <si>
    <t>Terlaksananya Pengawasan Pembangunan Gedung Convention Hall Sumatera Barat</t>
  </si>
  <si>
    <t>Desain Interior  Gedung Convention Hall Sumatera Barat</t>
  </si>
  <si>
    <t>Tersedianya Desain Interior Gedung Convention Hall Sumatera Barat</t>
  </si>
  <si>
    <t>Pembangunan Gedung Bundo Kandung Provinsi Sumatera Barat (Lanjutan)</t>
  </si>
  <si>
    <t>Terlaksananya Pembangunan Gedung Bundo Kandung Provinsi Sumatera Barat</t>
  </si>
  <si>
    <t>Pembangunan Gedung Bundo Kandung Provinsi Sumatera Barat (Tahap III)</t>
  </si>
  <si>
    <t>Tersedianya  Gedung Bundo Kandung Provinsi Sumatera Barat</t>
  </si>
  <si>
    <t>Pengawasan Pembangunan Gedung Bundo Kandung Provinsi Sumatera Barat (Tahap III)</t>
  </si>
  <si>
    <t>Terlaksananya Pengawasan Pembangunan Gedung Bundo Kandung Provinsi Sumatera Barat</t>
  </si>
  <si>
    <t>Pembangunan Gedung Pengendali Inflasi Provinsi Sumatera Barat</t>
  </si>
  <si>
    <t>Terlaksananya Pembangunan Gedung Pengendali Inflasi Sumatera Barat</t>
  </si>
  <si>
    <t>Hasil Rapat dengan Gubernur Tgl 28 Feb 2017 di Auditorium</t>
  </si>
  <si>
    <t>Pembangunan Gedung Pengendali Inflasi Provinsi Sumatera Barat (Tahap V)</t>
  </si>
  <si>
    <t>Tersedianya  Gedung Pengendali Inflasi Sumatera Barat</t>
  </si>
  <si>
    <t>Pengawasan Pembangunan Gedung Pengendali Inflasi Provinsi Sumatera Barat (Tahap V)</t>
  </si>
  <si>
    <t>Terlaksananya Pengawasan Pembangunan Gedung Pengendali Inflasi Sumatera Barat</t>
  </si>
  <si>
    <t>Penambahan Garase Rumah Dinas Gubernur</t>
  </si>
  <si>
    <t>Terlaksananya Penambahan Garase Rumah Dinas Gubernur</t>
  </si>
  <si>
    <t>DED Pembangunan Tambahan Garase Rumah Dinas Gubernur</t>
  </si>
  <si>
    <t>Terlaksananya Penyusunan DED Pembangunan Tambahan Garase Rumah Dinas Gubernur</t>
  </si>
  <si>
    <t>Pengawasan Pembangunan Tambahan Garase Rumah Dinas Gubernur</t>
  </si>
  <si>
    <t>Terlaksananya Pengawasan Tambahan Garase Rumah Dinas Gubernur</t>
  </si>
  <si>
    <t>Rehabilitasi Bangunan Gedung Negara</t>
  </si>
  <si>
    <t>Terlaksananya Rehabilitasi Bangunan Gedung Negara</t>
  </si>
  <si>
    <t>Rehabilitasi Gedung KONI Sumatera Barat</t>
  </si>
  <si>
    <t>Terehabilitasinya Gedung KONI Sumatera Barat</t>
  </si>
  <si>
    <t>Pengawasan Rehabilitasi Gedung-Gedung KONI Sumatera Barat</t>
  </si>
  <si>
    <t>Terlaksananya Pengawasan Pengawasan Rehabilitasi Gedung KONI</t>
  </si>
  <si>
    <t>Dukungan Penyelenggaraan Hari Pers Nasional</t>
  </si>
  <si>
    <t>Terlaksananya Penyelenggaraan Hari Pers Nasional</t>
  </si>
  <si>
    <t>Pembangunan Taman Wisata Kelok Sembilan</t>
  </si>
  <si>
    <t>DED Pembangunan Taman Wisata Kelok Sembilan</t>
  </si>
  <si>
    <t>Tersedianya  Dokumen Perencanaan Pembangunan Taman Wisata Kelok Sembilan</t>
  </si>
  <si>
    <t>UKL/UPL Pembangunan Taman Wisata Kelok Sembilan</t>
  </si>
  <si>
    <t>Tersedianya  Dokumen Lingkungan Pembangunan Taman Wisata Kelok Sembilan</t>
  </si>
  <si>
    <t>Pembinaan dan Pengelolaan Teknis (TPT) Bangunan Negara di Sumatera Barat</t>
  </si>
  <si>
    <t>Tersedianya Pembinaan dan Pengelolaan Teknis (TPT) Bangunan Negara Sumatera Barat</t>
  </si>
  <si>
    <t>Assesmen Bangunan Gedung dan Sertifikasi Laik Fungsi Bangunan Gedung</t>
  </si>
  <si>
    <t>Terlaksananya Assesmen Bangunan Gedung dan Sertifikasi Laik Fungsi Bangunan Gedung</t>
  </si>
  <si>
    <t>19 Kab/Kota</t>
  </si>
  <si>
    <t>Pembinaan Tim Ahli Bangunan Gedung (TABG)</t>
  </si>
  <si>
    <t>Terselenggaranya Pembinaan Tim Ahli Bangunan Gedung (TABG)</t>
  </si>
  <si>
    <t>Penyelenggaraan Layanan Konsultasi Teknis dan Advokasi Serta Tersedianya Data Informasi Teknis Bidang Kecipta Karyaan</t>
  </si>
  <si>
    <t xml:space="preserve">Terselenggaranya Layanan Konsultasi Teknis dan Advokasi serta tersedianya data informasi teknis dan terbentunya Tim Konsultasi Teknis  bidang kecipta karyaan </t>
  </si>
  <si>
    <t>Pendampingan Pembinaan Pengelolaan Rumah Negara di Sumatera Barat</t>
  </si>
  <si>
    <t>Terlaksananya Pendampingan Pembinaan Pengelolaan Rumah Negara di Sumatera Barat</t>
  </si>
  <si>
    <t xml:space="preserve"> Program Pengelolaan dan Pengembangan Sistem Air Limbah</t>
  </si>
  <si>
    <t>Meningkatnya Rumah Tangga Bersanitasi</t>
  </si>
  <si>
    <t>129 Lokasi</t>
  </si>
  <si>
    <t>Pendampingan Program Sanimas IDB  dan PPSP</t>
  </si>
  <si>
    <t>Terlaksananya Pendampingan Program Sanimas IDB  dan PPSP</t>
  </si>
  <si>
    <t>Fasilitasi Penyusunan Masterplan Sanitasi Kab/Kota di Sumatera Barat</t>
  </si>
  <si>
    <t>Terfasilitasinya Penyusunan Masterplan Sanitasi Kab/kota di Sumatera Barat</t>
  </si>
  <si>
    <t>Program Pengelolaan Sistem Drainase Kewenangan Provinsi</t>
  </si>
  <si>
    <t>Meningkatnya Pengelolaan Sistem Drainase Provinsi</t>
  </si>
  <si>
    <t>Pembangunan Drainase lintas kabupaten/kota</t>
  </si>
  <si>
    <t>Terbangunnya Drainse Lintas Kab/Kota</t>
  </si>
  <si>
    <t>Pembangunan drainase jalan provinsi Payakumbuh - Setangkai Segmen Polsek Kecamatan Lareh Sago Halaban Lima Puluh Kota</t>
  </si>
  <si>
    <t>Darman Sahladi , SE, MM</t>
  </si>
  <si>
    <t>Survey Drainase lintas kabupaten/kota</t>
  </si>
  <si>
    <t>Tersedianya Data Drainase Lintas Kab/Kota</t>
  </si>
  <si>
    <t>Program Peningkatan dan Pengembangan Jasa Konstruksi</t>
  </si>
  <si>
    <t>Meningkatnya Pengetahuan Pelaku Jasa Konstruksi</t>
  </si>
  <si>
    <t>Kegiatan Bimbingan Teknis/Workshop Jasa Konstruksi</t>
  </si>
  <si>
    <t>Peningkatan Pengetahuan Pelaku Jasa Konstruksi</t>
  </si>
  <si>
    <t>8 x Kegiatan</t>
  </si>
  <si>
    <t>Lokakarya, Sosialisasi dan Forum Komunikasi Jasa Konstruksi</t>
  </si>
  <si>
    <t>Terlaksananya Pembinaan dan Penerapan Jasa Konstruksi</t>
  </si>
  <si>
    <t>4 x Kegiatan</t>
  </si>
  <si>
    <t>Ranperda Sistem Manajemen Mutu</t>
  </si>
  <si>
    <t>Terbentuknya Produk Hukum Daerah Yang Aspiratif, Akomodatif dan Mengacu Kepada Hukum Nasional</t>
  </si>
  <si>
    <t>1 Ranperda</t>
  </si>
  <si>
    <t>Penyusunan Ranperda SMK3</t>
  </si>
  <si>
    <t>Kegiatan Update Profil Jasa Konstruksi</t>
  </si>
  <si>
    <t>Terlaksananya Profil Jasa Konstruksi</t>
  </si>
  <si>
    <t>Program Perencanaan Tata Ruang</t>
  </si>
  <si>
    <t>Meningkatnya Perencanaan Penataan Ruang Yang Berkualitas di Sumatera Barat</t>
  </si>
  <si>
    <t>Legalisasi Perda Revisi RTRW Provinsi Sumatera Barat</t>
  </si>
  <si>
    <t>Terlaksananya  Legalisasi Perda RTRW Provinsi Sumatera Barat</t>
  </si>
  <si>
    <t>Penyusunan KLHS RTRW Provinsi Sumatera Barat</t>
  </si>
  <si>
    <t>Penyusunan RTR Kawasan Strategis Provinsi</t>
  </si>
  <si>
    <t>Terlaksananya Penyusunan Kawasan Strategis Provinsi</t>
  </si>
  <si>
    <t>Penyusunan Zoning Regulation kawasan wisata Mandeh Kab. Pesisir Selatan dan Kota Padang</t>
  </si>
  <si>
    <t>Legalisasi RTR Kawasan Strategis Provinsi</t>
  </si>
  <si>
    <t>Terlaksananya Legalisasi RTR Kawasan Strategis Provinsi</t>
  </si>
  <si>
    <t>2 Dokumen</t>
  </si>
  <si>
    <t>Legalisasi RTR Kawasan Danau Maninjau</t>
  </si>
  <si>
    <t>Legalisasi RTR Kawasan Danau Singkarak</t>
  </si>
  <si>
    <t>Penyusunan Database KePUan dan Tata Ruang Provinsi/kabupaten/kota</t>
  </si>
  <si>
    <t>Tersedianya Database kePUan dan Penataan Ruang Provinsi/Kabupaten/Kota</t>
  </si>
  <si>
    <t>19 kab/kota</t>
  </si>
  <si>
    <t>Peningkatan Pemahaman Pemangku Kepentingan terhadap Penataan Ruang</t>
  </si>
  <si>
    <t>Meningkatnya Pemahaman Pemangku Kepentingan terhadap Penataan Ruang</t>
  </si>
  <si>
    <t>Pelatihan Pemetaan Tata Ruang</t>
  </si>
  <si>
    <t>Terlaksananya Pelatihan Pemetaan Tata Ruang</t>
  </si>
  <si>
    <t>Pelatihan Penyusunan Peta Tematik Rencana Tata Ruang</t>
  </si>
  <si>
    <t>Operasional BKPRD Provinsi Sumatera Barat</t>
  </si>
  <si>
    <t>Terlaksananya Penyelenggaraan BKPRD Provinsi Sumatera Barat</t>
  </si>
  <si>
    <t>Program Pengendalian dan Pengawasan Pemanfaatan Ruang</t>
  </si>
  <si>
    <t>Meningkatnya Pengendalian, Pengawasan dan Pemanfaatan Ruang di Sumatera Barat</t>
  </si>
  <si>
    <t>Monitoring Penyelenggaraan Penataan Ruang Kabupaten/Kota</t>
  </si>
  <si>
    <t>Terlaksananya Monitoring Penyelenggaraan Penataan Ruang</t>
  </si>
  <si>
    <t>Pengawasan Teknis Standar Pelayanan Minimal (SPM) Bidang Penataan Ruang di Kabupaten/Kota</t>
  </si>
  <si>
    <t>Terlaksananya Pengawasan Teknis Standar Pelayanan Minimal (SPM) Bidang Penataan Ruang</t>
  </si>
  <si>
    <t>Pengawasan Pemanfaatan Ruang oleh Penyidik Pegawai Negeri Sipil (PPNS) Penataan Ruang Provinsi Sumatera Barat</t>
  </si>
  <si>
    <t>Terlaksananya Pengawasan Penyidik Pegawai Negeri Sipil (PPNS) Penataan Ruang</t>
  </si>
  <si>
    <t>Operasionalisasi Penyidik Pegawai Negeri Sipil (PPNS) Penataan Ruang</t>
  </si>
  <si>
    <t>Program Peningkatan dan Pengembangan Keuangan Daerah</t>
  </si>
  <si>
    <t>Terlaksannya Peningkatan dan Pengembangan Pengelolaan Keuangan Daerah</t>
  </si>
  <si>
    <t>20</t>
  </si>
  <si>
    <t xml:space="preserve">Intensifikasi dan Ekstensifikasi Retribusi </t>
  </si>
  <si>
    <t>Rehab/Pemel Rutin Jalan Propinsi di Kab. Tanah Datar dan Kota Padang Panjang</t>
  </si>
  <si>
    <t>Paket Penyusunan Amdal Jalan Lubuk Sikaping - Talu (P.096)</t>
  </si>
  <si>
    <t>100 M</t>
  </si>
  <si>
    <t>Lanjutan Peningkatan Jalan Padang Koto Gadang - Palembayan (P.088)</t>
  </si>
  <si>
    <t>0,1 Km</t>
  </si>
  <si>
    <t>0,9 Km</t>
  </si>
  <si>
    <t>130 M</t>
  </si>
  <si>
    <t>50 M</t>
  </si>
  <si>
    <t>0,6 Km</t>
  </si>
  <si>
    <t>2,90 Km</t>
  </si>
  <si>
    <t>0,40 Km</t>
  </si>
  <si>
    <t>0,05 Km</t>
  </si>
  <si>
    <t>110,10 Km</t>
  </si>
  <si>
    <t>4,3 Km</t>
  </si>
  <si>
    <t>2,75 Km</t>
  </si>
  <si>
    <t>1,1 Km</t>
  </si>
  <si>
    <t>Pengawasan Pembangunan Gedung Kebudayaan Sumatera Barat</t>
  </si>
  <si>
    <t>Pembangunan Gedung Kebudayaan Sumatera Barat</t>
  </si>
  <si>
    <t>Kegiatan Penyebarluasan informasi dan Komunikasi Penataan Ruang</t>
  </si>
  <si>
    <t>Terlaksananya Penyebarluasan informasi dan Komunikasi Penataan Ruang</t>
  </si>
  <si>
    <t>Tersedianya Database IRMS dan BMS</t>
  </si>
  <si>
    <t>Tersedianya Dokumen Perencanaan Jembatan Provinsi</t>
  </si>
  <si>
    <t xml:space="preserve">Tersedianya Dokumen Perencanaan Jalan Provinsi </t>
  </si>
  <si>
    <t>Tersedianya Dokumen Pengelolaan Lingkungan Hidup, Pembangunan Jalan dan Jembatan Propinsi</t>
  </si>
  <si>
    <t>Tersedianya Pelatan dan Bahan Jalan dan Jembatan</t>
  </si>
  <si>
    <t>Terlaksananya Pembangunan Taman Wisata Kelok Sembilan</t>
  </si>
  <si>
    <t>SASARAN</t>
  </si>
  <si>
    <t>PROGRAM/KEGIATAN</t>
  </si>
  <si>
    <t>TARGET</t>
  </si>
  <si>
    <t>Erman Mawardi</t>
  </si>
  <si>
    <t>Marlina Suswati</t>
  </si>
  <si>
    <t>H. Saidal Masfiyuddin, SH</t>
  </si>
  <si>
    <t>Paket Peningkatan Jalan Surantih - Kayu Aro - Langgai  (P. 086)</t>
  </si>
  <si>
    <t>Paket Pengamanan Badan Jalan Panti - Simpang Empat (P. 031)</t>
  </si>
  <si>
    <t>Dra. Armiati</t>
  </si>
  <si>
    <t>POKIR</t>
  </si>
  <si>
    <t>Tambahan Dana dari TAPD 2M (20170729) Bappeda</t>
  </si>
  <si>
    <t>Dr. Risnaldi,S.Ag., MM</t>
  </si>
  <si>
    <t>5.000 M2</t>
  </si>
  <si>
    <t>2 Paket</t>
  </si>
  <si>
    <t>TABEL IV.3-1</t>
  </si>
  <si>
    <t>I</t>
  </si>
  <si>
    <t>No..</t>
  </si>
  <si>
    <t>II</t>
  </si>
  <si>
    <t>III</t>
  </si>
  <si>
    <t>IV</t>
  </si>
  <si>
    <t>V</t>
  </si>
  <si>
    <t>VI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</si>
  <si>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</si>
  <si>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</si>
  <si>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</si>
  <si>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</si>
  <si>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</si>
  <si>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</si>
  <si>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</si>
  <si>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</si>
  <si>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</si>
  <si>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</si>
  <si>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</si>
  <si>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Readymik bahu Jalan Indopuro Muara Sakai Kab. Pesisir Selatan</t>
  </si>
  <si>
    <t>0,7 Km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</si>
  <si>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</si>
  <si>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</si>
  <si>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</si>
  <si>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</si>
  <si>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</si>
  <si>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</si>
  <si>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</si>
  <si>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</si>
  <si>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</si>
  <si>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</si>
  <si>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1,8 Km</t>
  </si>
  <si>
    <t>4 Km</t>
  </si>
  <si>
    <t>Tersedianya Dokumen Pembangunan Gedung Utama Kantor Gubernur Sumatera Barat</t>
  </si>
  <si>
    <t>1 Kws</t>
  </si>
  <si>
    <t>Tersusunnya Perencanaan dan Penganggaran OPD</t>
  </si>
  <si>
    <t>Tersusunnya Laporan Capaian Kinerja OPD (LAKIP, LKPJ dan LPPD) dengan baik</t>
  </si>
  <si>
    <t>Paket Peningkatan Jalan Simp. Padang Aro - Lubuk Malako (P. 056,1)</t>
  </si>
  <si>
    <t>KET.</t>
  </si>
  <si>
    <t>Tersedianya Review DED Stadium Utama Sumatera Barat</t>
  </si>
  <si>
    <t>95,08 Km</t>
  </si>
  <si>
    <t>115,67 Km</t>
  </si>
  <si>
    <t>88,70 Km</t>
  </si>
  <si>
    <t>124,42 Km</t>
  </si>
  <si>
    <t>77,84 Km</t>
  </si>
  <si>
    <t>101,21 Km</t>
  </si>
  <si>
    <t>113,38 Km</t>
  </si>
  <si>
    <t>140,16 Km</t>
  </si>
  <si>
    <t>56,34 Km</t>
  </si>
  <si>
    <t>2,80 Km</t>
  </si>
  <si>
    <t>36.000 M2</t>
  </si>
  <si>
    <t>Pengadaan Rangka Baliho</t>
  </si>
  <si>
    <t>Tersedianya Rangka Baliho</t>
  </si>
  <si>
    <t>Paket Peningkatan Jalan Manggopoh - Padang Luar (P.025)</t>
  </si>
  <si>
    <t>Pemeliharaan Rutin/Berkala Gedung Kantor</t>
  </si>
  <si>
    <t>Readymix bahu Jalan Indopuro Muara Sakai Kab. Pesisir Selatan</t>
  </si>
  <si>
    <t>NON URUSAN</t>
  </si>
  <si>
    <t>USULAN PERUBAHAN              (Rp)</t>
  </si>
  <si>
    <t>Rekap Pokok Pikiran Untuk APBD 2018</t>
  </si>
  <si>
    <t>Dinas Pekerjaan Umum dan Penataan Ruang</t>
  </si>
  <si>
    <t>NO.</t>
  </si>
  <si>
    <t>KEGIATAN</t>
  </si>
  <si>
    <t>ANGGOTA DEWAN</t>
  </si>
  <si>
    <t>PAGU DANA</t>
  </si>
  <si>
    <t>Paket Pembangunan Jalan Tapus - Muaro Sei. Lolo - Gelugur (P. 101)</t>
  </si>
  <si>
    <t>No.</t>
  </si>
  <si>
    <t>Terlaksannya rapat-rapat koordinasi dan konsultasi dalam daerah, luar daerah dan luar negeri</t>
  </si>
  <si>
    <t>Tersedianya Peralatan, Perlengkapan Kantor, Videotron, Drone dan Rangka Baliho</t>
  </si>
  <si>
    <t>Pembangunan Tambahan Garase Rumah Dinas Gubernur dan Bangunan Pendukung Lainnya</t>
  </si>
  <si>
    <t>Tersedianya Tambahan Garase Rumah Dinas Gubernur dan Bangunan Pendukung Lainnya</t>
  </si>
  <si>
    <t>SELISIH                        (Rp)</t>
  </si>
  <si>
    <t>PAGU RANPERDA                (Rp)</t>
  </si>
  <si>
    <t>PELAKSANAAN PADA</t>
  </si>
  <si>
    <t>TRIWULAN I</t>
  </si>
  <si>
    <t>TRIWULAN II</t>
  </si>
  <si>
    <t>TRIWULAN III</t>
  </si>
  <si>
    <t>TRIWULAN IV</t>
  </si>
  <si>
    <t>RENCANA REKAPITULASI PROGRAM DAN KEGIATAN PEMBANGUNAN TAHUN 2018</t>
  </si>
  <si>
    <t>KETERANGAN</t>
  </si>
  <si>
    <t>PINDAH PERKIMTAN</t>
  </si>
  <si>
    <t>PAGU RANPERDA (Rp)</t>
  </si>
  <si>
    <t>USULAN PERUBAHAN (Rp)</t>
  </si>
  <si>
    <t>RENCANA PROGRAM DAN KEGIATAN PINDAH KE DINAS PERUMAHAN, KAWASAN PERMUKIMAN DAN PERTANAHAN TAHUN 2018</t>
  </si>
  <si>
    <t>Padang, 12 Oktober 2017</t>
  </si>
  <si>
    <t>KEPALA DINAS</t>
  </si>
  <si>
    <t>Ir. Fathol Bari, M.Sc.Eng</t>
  </si>
  <si>
    <t>NIP. 19640515 199003 1 010</t>
  </si>
  <si>
    <t>Penyusunan Dokumen Leger Jalan</t>
  </si>
  <si>
    <t>Dana  Awal DI tambah 15,8</t>
  </si>
  <si>
    <t>Dana  Awal DI tambah 15,8 + 21,5</t>
  </si>
  <si>
    <t>Dana yang digeser perkegiatan + 15,8</t>
  </si>
  <si>
    <t>Dana yang digeser perkegiatan + 15,8 + 21,5</t>
  </si>
  <si>
    <t>PAGU RANPERDA+++       (Rp)</t>
  </si>
  <si>
    <t>USULAN PERUBAHAN+++        (Rp)</t>
  </si>
  <si>
    <t>Paket Peningkatan Jalan  Lingkar Selatan (Payakumbuh)  (P. 084)</t>
  </si>
  <si>
    <t>:     PEKERJAAN UMUM DAN PENATAAN RUANG</t>
  </si>
  <si>
    <t>Geser Dana Antar Kegiatan</t>
  </si>
  <si>
    <t>Penambahan Dana</t>
  </si>
  <si>
    <t>Penambahan Dana dan Geser Dana Antar Kegiatan</t>
  </si>
  <si>
    <t>PAGU KUA-PPAS                (Rp)</t>
  </si>
  <si>
    <t>USULAN RANPERDA              (Rp)</t>
  </si>
  <si>
    <t>RENCANA PERUBAHAN DAN PENAMBAHAN DANA OPD TAHUN 2018</t>
  </si>
  <si>
    <t>USULAN PERUBAHAN        (Rp)</t>
  </si>
  <si>
    <t>PAGU KUA-PPAS       (Rp)</t>
  </si>
  <si>
    <t>3 Paket</t>
  </si>
  <si>
    <t>120 M</t>
  </si>
  <si>
    <t>6,5 Km</t>
  </si>
  <si>
    <t>8,6 Km</t>
  </si>
  <si>
    <t>3,3 Km</t>
  </si>
  <si>
    <t>1,3 Km</t>
  </si>
  <si>
    <t>3,8 Km</t>
  </si>
  <si>
    <t>1,25 Km</t>
  </si>
  <si>
    <t>2,2 Km</t>
  </si>
  <si>
    <t>7,4 Km</t>
  </si>
  <si>
    <t>6 Unit Pick Up, 2 Unit Backhoe Loader, 1000 Unit Bronjong</t>
  </si>
  <si>
    <t>Pembangunan Jalan Provinsi Pangkalan Kapur Sembilan  (P. 076)</t>
  </si>
  <si>
    <t>USULAN TAMBAHAN DANA TAHUN ANGGARAN 2018</t>
  </si>
  <si>
    <t>DINAS PEKERJAAN UMUM DAN PENATAAN RUANG PROVINSI SUMATERA BARAT</t>
  </si>
  <si>
    <t>No</t>
  </si>
  <si>
    <t>Paket</t>
  </si>
  <si>
    <t>Rupiah (Milyar)</t>
  </si>
  <si>
    <t>Keterangan</t>
  </si>
  <si>
    <t>Usulan Dinas</t>
  </si>
  <si>
    <t>Penambahan</t>
  </si>
  <si>
    <t>Jumlah</t>
  </si>
  <si>
    <t>Simp. Duku (Ketaping) - Pariaman (P.075)</t>
  </si>
  <si>
    <t>Sp. Ganting Payo - Batas Tanah Datar - Sumani (P.092)</t>
  </si>
  <si>
    <t>3,35 km, lebar 4,5 m</t>
  </si>
  <si>
    <t>Padang Koto Gadang - Palembayan (P.088)</t>
  </si>
  <si>
    <t>1,25 km lebar 4,5 m</t>
  </si>
  <si>
    <t>Matur - Palembayan (P.088)</t>
  </si>
  <si>
    <t>0,95 km + Penanggulangan Longsor</t>
  </si>
  <si>
    <t xml:space="preserve"> Terlaksananya Pemeliharaan rutin/berkala kendaraan Dinas/Operasional</t>
  </si>
  <si>
    <t>Dana di Pindah ke Ruas yang lebih prioritas dan dibutuhkan penanganan segera yaitunya Ruas Jalan Sp. Ganting Payo - Batas Tanah Datar - Sumani (P.092)</t>
  </si>
  <si>
    <t>Dana di Pindah ke Ruas yang lebih prioritas dan dibutuhkan penanganan segera yaitunya Ruas Jalan Pdg. Koto Gadang - Palembayan (500jt) (P.088), Manggopoh - Padang Luar (500jt) (P.025) dan Ruas Jalan Pangkalan - Kapur Sembilan  (P. 076) (500jt)</t>
  </si>
  <si>
    <t>Pengurangan Dana untuk pembayaran gaji pegawai PTT yang sudah tidak bekerja pada Kegiatan Penyusunan Perencanaan dan Penganggaran SKPD</t>
  </si>
  <si>
    <t>Penambahan Dana untuk pembayaran gaji pegawai PTT yang ada pada Bidang Bina Marga.</t>
  </si>
  <si>
    <t>Tambahan Dana untuk Peningkatan Jalan Sp. Ganting Payo - Batas Tanah Datar - Sumani  (P. 092) sebesar 1,7 M dari Keg. Pemeliharaan Khusus Jalan Provinsi Rute Tour de Singkarak dan Penambahan Dana sebesar 6 M.</t>
  </si>
  <si>
    <t>Tambahan Dana untuk Peningkatan Jalan Pdg Koto Gadang - Palembayan (P.088) 3 M ditambah dari Keg. Penanganan Kondisi Kritis 500jt, Penambahan Dana utk ruas Jalan Manggopoh - Padang Luar (P.025) 500jt dari Keg. Penanganan Kondisi Kritis dan penambahan dana utk Peningkatan Jalan  Matur - Palembayan(P. 080) 500jt.</t>
  </si>
  <si>
    <t>Penambahan Dana utk Pembangunan Jalan Provinsi Pangkalan Kapur Sembilan  (P. 076) 1 M ditambah dari Keg. Penanganan Kondisi Kritis 500jt.</t>
  </si>
  <si>
    <t>Penambahan Dana utk Pembangunan Pembangunan Jalan Simp. Duku (Ketaping) - Pariaman  (P. 075) 3,5 M</t>
  </si>
  <si>
    <t>Penambahan dana sebesar 1 M untuk penanganan pemeliharaan jalan yang kondisi jalannya rusak (tidak mantap)</t>
  </si>
  <si>
    <t>Pada rencana awal penganggaran Gedung Utama Kantor Gubernur akan di lakukan Review DED, akan tetapi berdasarkan instruksi dari Bapak Gubernur tidak memerlukan Review terhadap DED yang telah ada.</t>
  </si>
  <si>
    <t>Penambahan dana sebesar 500jt untuk Pembangunan Gedung Pemberdayaan Wanita &amp; KB Provinsi Sumatera Barat karena Dana yang dianggarkan sebelumnya masih belum mencukupi utk penyelesaian pembangunan gedung tersebut.</t>
  </si>
  <si>
    <t>Dari renana awal pembukaan HPN dilaksanakan di Kws. Gor H. Agus Salim sehingga di perlukan anggaran untuk Rehab Gor H Agus Salim, setelah di lakukan perubahan lokasi pembukaan HPN ke Pantai Padang sehingga kebutuhan akan Keg. Dukungan HPN hanya membutuhkan dana 600jt.</t>
  </si>
  <si>
    <t>Anggaran yang tersedia tidak memenuhi akan pencapaian target yang semula di rencanakan sehingga membutuhkan penambahan dana.</t>
  </si>
  <si>
    <t>Membutuhkan penambahan dana untuk pembangunan Drainase Lintas Kabupaten/Kota supaya target yang di rencanakan tercapai.</t>
  </si>
  <si>
    <t>Pada rencana awal penganggaran Gedung Utama Kantor Gubernur akan di lakukan Review DED, akan tetapi berdasarkan permintaan dari Bapak Gubernur tidak memerlukan Review terhadap DED yang telah ada.</t>
  </si>
  <si>
    <t>Dari renana awal pembukaan HPN dilaksanakan di Kws. Gor H. Agus Salim sehingga di perlukan anggaran untuk Rehab Gor H Agus Salim, setelah di lakukan perubahan lokasi pembukaan HPN ke Pantai Padang sehingga kebutuhan dana untuk Keg. Dukungan HPN hanya membutuhkan dana 600jt.</t>
  </si>
  <si>
    <t>Penambahan Dana utk Pembangunan Pembangunan Jalan Simp. Duku (Ketaping) - Pariaman  (P. 075) 3,2 M</t>
  </si>
  <si>
    <t>Untuk administrasi dan penunjang operasional kegiatan DAK 2018</t>
  </si>
  <si>
    <t>Dari rencana awal pembukaan HPN dilaksanakan di Kws. Gor H. Agus Salim sehingga di perlukan anggaran untuk Rehab Gor H Agus Salim, setelah di lakukan perubahan lokasi pembukaan HPN ke Pantai Padang sehingga kebutuhan dana untuk Keg. Dukungan HPN hanya membutuhkan dana 600jt.</t>
  </si>
  <si>
    <t>Berdasarkan rapat banggar, Pagu Dana Kegiatan Penambahan Garase Rumah Dinas Gubernur harus di Rasionalisasikan</t>
  </si>
  <si>
    <t>Penambahan Dana 500jt dari banggar untuk Paket Penyusunan Dokumen Leger Jalan</t>
  </si>
  <si>
    <t>Keg. Peningkatan Kinera SPAM di Prov. Sumbar Wilayah I masih membutuhkan penambahan Dana untuk pencapaian target yang telah direncanakan.</t>
  </si>
  <si>
    <t>ICA</t>
  </si>
  <si>
    <t>RKA OK</t>
  </si>
  <si>
    <t>Kepala Dinas Pekerjaan Umum dan Penataan Ruang</t>
  </si>
  <si>
    <t>Provinsi Sumatera Barat</t>
  </si>
  <si>
    <t>Ir. FATHOL BARI, M.Sc.Eng</t>
  </si>
  <si>
    <t>Padang,          Desember 2017</t>
  </si>
  <si>
    <t>Pembina Utama Madya (IV/d)</t>
  </si>
  <si>
    <t>2,3 Km</t>
  </si>
  <si>
    <t xml:space="preserve"> </t>
  </si>
  <si>
    <t>Manajemen Konstruksi Pembangunan Stadium Utama Sumatera Barat (pengawasan)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</si>
</sst>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.00_);_(* \(#,##0.00\);_(* &quot;-&quot;_);_(@_)"/>
    <numFmt numFmtId="167" formatCode="General\ \Km"/>
    <numFmt numFmtId="168" formatCode="0.0%"/>
    <numFmt numFmtId="169" formatCode="#,##0;[Blue]\-#,##0"/>
    <numFmt numFmtId="170" formatCode="General\."/>
    <numFmt numFmtId="171" formatCode="_-* #,##0_-;\-* #,##0_-;_-* &quot;-&quot;??_-;_-@_-"/>
  </numFmts>
  <fonts count="5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theme="1"/>
      <name val="Arial"/>
      <family val="2"/>
      <charset val="1"/>
    </font>
    <font>
      <sz val="8"/>
      <name val="Arial Narrow"/>
      <family val="2"/>
    </font>
    <font>
      <i/>
      <sz val="10"/>
      <name val="Arial Narrow"/>
      <family val="2"/>
    </font>
    <font>
      <b/>
      <i/>
      <sz val="10"/>
      <color theme="0"/>
      <name val="Arial Narrow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sz val="10"/>
      <name val="Arial Narrow"/>
      <family val="2"/>
    </font>
    <font>
      <b/>
      <sz val="10"/>
      <color rgb="FF002060"/>
      <name val="Arial Narrow"/>
      <family val="2"/>
    </font>
    <font>
      <sz val="10"/>
      <color rgb="FFFF0000"/>
      <name val="Arial Narrow"/>
      <family val="2"/>
    </font>
    <font>
      <i/>
      <sz val="10"/>
      <color rgb="FFC00000"/>
      <name val="Arial Narrow"/>
      <family val="2"/>
    </font>
    <font>
      <b/>
      <i/>
      <sz val="10"/>
      <name val="Arial Narrow"/>
      <family val="2"/>
    </font>
    <font>
      <b/>
      <i/>
      <sz val="10"/>
      <color rgb="FF7030A0"/>
      <name val="Arial Narrow"/>
      <family val="2"/>
    </font>
    <font>
      <i/>
      <sz val="10"/>
      <color rgb="FF7030A0"/>
      <name val="Arial Narrow"/>
      <family val="2"/>
    </font>
    <font>
      <i/>
      <sz val="10"/>
      <color rgb="FFFF0000"/>
      <name val="Arial Narrow"/>
      <family val="2"/>
    </font>
    <font>
      <b/>
      <sz val="10"/>
      <color rgb="FF7030A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5"/>
      <name val="Arial Narrow"/>
      <family val="2"/>
    </font>
    <font>
      <i/>
      <sz val="10"/>
      <color theme="0"/>
      <name val="Arial Narrow"/>
      <family val="2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2"/>
      <name val="Cambria"/>
      <family val="1"/>
    </font>
    <font>
      <b/>
      <sz val="10"/>
      <color theme="0"/>
      <name val="Arial Narrow"/>
      <family val="2"/>
    </font>
    <font>
      <sz val="10"/>
      <color rgb="FF002060"/>
      <name val="Arial Narrow"/>
      <family val="2"/>
    </font>
    <font>
      <b/>
      <sz val="10"/>
      <name val="Arial Narrow"/>
      <family val="2"/>
    </font>
    <font>
      <b/>
      <i/>
      <sz val="11"/>
      <name val="Arial Narrow"/>
      <family val="2"/>
    </font>
    <font>
      <sz val="11"/>
      <name val="Arial Narrow"/>
      <family val="2"/>
    </font>
    <font>
      <i/>
      <sz val="9"/>
      <name val="Arial Narrow"/>
      <family val="2"/>
    </font>
    <font>
      <b/>
      <sz val="11"/>
      <color theme="0"/>
      <name val="Arial"/>
      <family val="2"/>
    </font>
    <font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9"/>
      <name val="Arial Narrow"/>
      <family val="2"/>
    </font>
    <font>
      <b/>
      <i/>
      <sz val="9"/>
      <color theme="0"/>
      <name val="Arial Narrow"/>
      <family val="2"/>
    </font>
    <font>
      <b/>
      <i/>
      <sz val="9"/>
      <color rgb="FF7030A0"/>
      <name val="Arial Narrow"/>
      <family val="2"/>
    </font>
    <font>
      <i/>
      <sz val="9"/>
      <color rgb="FF7030A0"/>
      <name val="Arial Narrow"/>
      <family val="2"/>
    </font>
    <font>
      <i/>
      <sz val="9"/>
      <color theme="0"/>
      <name val="Arial Narrow"/>
      <family val="2"/>
    </font>
    <font>
      <b/>
      <i/>
      <sz val="9"/>
      <name val="Arial Narrow"/>
      <family val="2"/>
    </font>
    <font>
      <i/>
      <sz val="9"/>
      <color rgb="FFC00000"/>
      <name val="Arial Narrow"/>
      <family val="2"/>
    </font>
    <font>
      <sz val="9"/>
      <color rgb="FFFF0000"/>
      <name val="Arial Narrow"/>
      <family val="2"/>
    </font>
    <font>
      <b/>
      <sz val="11"/>
      <name val="Arial Narrow"/>
      <family val="2"/>
    </font>
    <font>
      <b/>
      <sz val="12"/>
      <color indexed="8"/>
      <name val="Arial Narrow"/>
      <family val="2"/>
    </font>
    <font>
      <b/>
      <u/>
      <sz val="12"/>
      <color indexed="8"/>
      <name val="Arial Narrow"/>
      <family val="2"/>
    </font>
    <font>
      <i/>
      <sz val="9"/>
      <color rgb="FFFF0000"/>
      <name val="Arial Narrow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97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double">
        <color auto="1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double">
        <color auto="1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double">
        <color auto="1"/>
      </right>
      <top style="hair">
        <color indexed="64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hair">
        <color indexed="64"/>
      </top>
      <bottom/>
      <diagonal/>
    </border>
    <border>
      <left/>
      <right style="double">
        <color auto="1"/>
      </right>
      <top style="hair">
        <color indexed="64"/>
      </top>
      <bottom style="hair">
        <color indexed="64"/>
      </bottom>
      <diagonal/>
    </border>
    <border>
      <left/>
      <right style="double">
        <color auto="1"/>
      </right>
      <top/>
      <bottom style="hair">
        <color indexed="64"/>
      </bottom>
      <diagonal/>
    </border>
    <border>
      <left/>
      <right style="double">
        <color auto="1"/>
      </right>
      <top style="hair">
        <color indexed="64"/>
      </top>
      <bottom style="double">
        <color indexed="64"/>
      </bottom>
      <diagonal/>
    </border>
  </borders>
  <cellStyleXfs count="1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" fillId="0" borderId="0"/>
    <xf numFmtId="0" fontId="3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07">
    <xf numFmtId="0" fontId="0" fillId="0" borderId="0" xfId="0"/>
    <xf numFmtId="9" fontId="7" fillId="2" borderId="24" xfId="1" applyNumberFormat="1" applyFont="1" applyFill="1" applyBorder="1" applyAlignment="1">
      <alignment horizontal="center" vertical="center" wrapText="1"/>
    </xf>
    <xf numFmtId="0" fontId="8" fillId="2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Border="1" applyAlignment="1">
      <alignment horizontal="center" vertical="center"/>
    </xf>
    <xf numFmtId="0" fontId="9" fillId="2" borderId="0" xfId="1" applyNumberFormat="1" applyFont="1" applyFill="1" applyAlignment="1">
      <alignment horizontal="left" vertical="center"/>
    </xf>
    <xf numFmtId="0" fontId="10" fillId="2" borderId="0" xfId="1" applyNumberFormat="1" applyFont="1" applyFill="1" applyAlignment="1">
      <alignment horizontal="left" vertical="center"/>
    </xf>
    <xf numFmtId="0" fontId="9" fillId="2" borderId="0" xfId="1" applyNumberFormat="1" applyFont="1" applyFill="1" applyAlignment="1">
      <alignment horizontal="center" vertical="center"/>
    </xf>
    <xf numFmtId="165" fontId="11" fillId="0" borderId="0" xfId="3" applyNumberFormat="1" applyFont="1" applyFill="1" applyBorder="1" applyAlignment="1">
      <alignment horizontal="right" vertical="center"/>
    </xf>
    <xf numFmtId="0" fontId="9" fillId="2" borderId="0" xfId="1" applyNumberFormat="1" applyFont="1" applyFill="1" applyBorder="1" applyAlignment="1">
      <alignment horizontal="left" vertical="center"/>
    </xf>
    <xf numFmtId="0" fontId="9" fillId="2" borderId="0" xfId="1" applyNumberFormat="1" applyFont="1" applyFill="1" applyAlignment="1">
      <alignment horizontal="left" vertical="center" wrapText="1"/>
    </xf>
    <xf numFmtId="0" fontId="9" fillId="2" borderId="0" xfId="2" applyNumberFormat="1" applyFont="1" applyFill="1" applyAlignment="1">
      <alignment horizontal="left" vertical="center" wrapText="1"/>
    </xf>
    <xf numFmtId="0" fontId="11" fillId="2" borderId="0" xfId="2" applyNumberFormat="1" applyFont="1" applyFill="1" applyAlignment="1">
      <alignment horizontal="center" vertical="center"/>
    </xf>
    <xf numFmtId="165" fontId="11" fillId="2" borderId="0" xfId="3" applyNumberFormat="1" applyFont="1" applyFill="1" applyAlignment="1">
      <alignment horizontal="right" vertical="center"/>
    </xf>
    <xf numFmtId="0" fontId="8" fillId="2" borderId="0" xfId="1" applyFont="1" applyFill="1" applyAlignment="1">
      <alignment horizontal="center" vertical="center"/>
    </xf>
    <xf numFmtId="165" fontId="9" fillId="0" borderId="0" xfId="3" applyNumberFormat="1" applyFont="1" applyFill="1" applyBorder="1" applyAlignment="1">
      <alignment horizontal="center" vertical="center" wrapText="1"/>
    </xf>
    <xf numFmtId="0" fontId="9" fillId="2" borderId="0" xfId="1" applyFont="1" applyFill="1" applyAlignment="1">
      <alignment vertical="center"/>
    </xf>
    <xf numFmtId="164" fontId="9" fillId="2" borderId="0" xfId="4" applyFont="1" applyFill="1" applyAlignment="1">
      <alignment vertical="center"/>
    </xf>
    <xf numFmtId="165" fontId="9" fillId="2" borderId="0" xfId="1" applyNumberFormat="1" applyFont="1" applyFill="1" applyAlignment="1">
      <alignment vertical="center"/>
    </xf>
    <xf numFmtId="0" fontId="9" fillId="2" borderId="17" xfId="2" applyNumberFormat="1" applyFont="1" applyFill="1" applyBorder="1" applyAlignment="1">
      <alignment horizontal="center" vertical="center" wrapText="1"/>
    </xf>
    <xf numFmtId="1" fontId="9" fillId="2" borderId="11" xfId="3" applyNumberFormat="1" applyFont="1" applyFill="1" applyBorder="1" applyAlignment="1">
      <alignment horizontal="center" vertical="center" wrapText="1"/>
    </xf>
    <xf numFmtId="1" fontId="9" fillId="0" borderId="0" xfId="3" applyNumberFormat="1" applyFont="1" applyFill="1" applyBorder="1" applyAlignment="1">
      <alignment horizontal="center" vertical="center" wrapText="1"/>
    </xf>
    <xf numFmtId="41" fontId="9" fillId="2" borderId="0" xfId="15" applyFont="1" applyFill="1" applyAlignment="1">
      <alignment vertical="center"/>
    </xf>
    <xf numFmtId="0" fontId="11" fillId="2" borderId="18" xfId="1" applyFont="1" applyFill="1" applyBorder="1" applyAlignment="1">
      <alignment horizontal="center" vertical="center"/>
    </xf>
    <xf numFmtId="0" fontId="9" fillId="2" borderId="19" xfId="2" applyNumberFormat="1" applyFont="1" applyFill="1" applyBorder="1" applyAlignment="1">
      <alignment horizontal="left" vertical="center" wrapText="1"/>
    </xf>
    <xf numFmtId="0" fontId="11" fillId="2" borderId="19" xfId="2" applyNumberFormat="1" applyFont="1" applyFill="1" applyBorder="1" applyAlignment="1">
      <alignment horizontal="center" vertical="center" wrapText="1"/>
    </xf>
    <xf numFmtId="165" fontId="9" fillId="2" borderId="12" xfId="3" applyNumberFormat="1" applyFont="1" applyFill="1" applyBorder="1" applyAlignment="1">
      <alignment horizontal="right" vertical="center"/>
    </xf>
    <xf numFmtId="165" fontId="9" fillId="0" borderId="0" xfId="3" applyNumberFormat="1" applyFont="1" applyFill="1" applyBorder="1" applyAlignment="1">
      <alignment horizontal="right" vertical="center"/>
    </xf>
    <xf numFmtId="169" fontId="12" fillId="2" borderId="0" xfId="4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1" fillId="2" borderId="0" xfId="1" applyFont="1" applyFill="1" applyAlignment="1">
      <alignment vertical="center"/>
    </xf>
    <xf numFmtId="0" fontId="9" fillId="4" borderId="20" xfId="1" quotePrefix="1" applyFont="1" applyFill="1" applyBorder="1" applyAlignment="1">
      <alignment horizontal="center" vertical="center"/>
    </xf>
    <xf numFmtId="165" fontId="9" fillId="4" borderId="21" xfId="1" applyNumberFormat="1" applyFont="1" applyFill="1" applyBorder="1" applyAlignment="1">
      <alignment horizontal="right" vertical="center" wrapText="1"/>
    </xf>
    <xf numFmtId="165" fontId="9" fillId="0" borderId="0" xfId="1" applyNumberFormat="1" applyFont="1" applyFill="1" applyBorder="1" applyAlignment="1">
      <alignment horizontal="right" vertical="center" wrapText="1"/>
    </xf>
    <xf numFmtId="164" fontId="9" fillId="2" borderId="0" xfId="4" applyFont="1" applyFill="1" applyBorder="1" applyAlignment="1">
      <alignment horizontal="center" vertical="center" wrapText="1"/>
    </xf>
    <xf numFmtId="0" fontId="9" fillId="5" borderId="20" xfId="1" quotePrefix="1" applyFont="1" applyFill="1" applyBorder="1" applyAlignment="1">
      <alignment horizontal="center" vertical="center"/>
    </xf>
    <xf numFmtId="0" fontId="9" fillId="5" borderId="17" xfId="6" applyNumberFormat="1" applyFont="1" applyFill="1" applyBorder="1" applyAlignment="1">
      <alignment horizontal="left" vertical="center" wrapText="1"/>
    </xf>
    <xf numFmtId="164" fontId="9" fillId="5" borderId="17" xfId="5" applyNumberFormat="1" applyFont="1" applyFill="1" applyBorder="1" applyAlignment="1">
      <alignment horizontal="center" vertical="center" wrapText="1"/>
    </xf>
    <xf numFmtId="4" fontId="9" fillId="5" borderId="11" xfId="5" applyNumberFormat="1" applyFont="1" applyFill="1" applyBorder="1" applyAlignment="1">
      <alignment horizontal="right" vertical="center" wrapText="1"/>
    </xf>
    <xf numFmtId="4" fontId="9" fillId="0" borderId="0" xfId="5" applyNumberFormat="1" applyFont="1" applyFill="1" applyBorder="1" applyAlignment="1">
      <alignment horizontal="right" vertical="center" wrapText="1"/>
    </xf>
    <xf numFmtId="0" fontId="11" fillId="0" borderId="23" xfId="1" quotePrefix="1" applyFont="1" applyFill="1" applyBorder="1" applyAlignment="1">
      <alignment horizontal="center" vertical="center"/>
    </xf>
    <xf numFmtId="0" fontId="11" fillId="0" borderId="24" xfId="1" quotePrefix="1" applyFont="1" applyFill="1" applyBorder="1" applyAlignment="1">
      <alignment vertical="center" wrapText="1"/>
    </xf>
    <xf numFmtId="0" fontId="11" fillId="2" borderId="28" xfId="6" applyNumberFormat="1" applyFont="1" applyFill="1" applyBorder="1" applyAlignment="1">
      <alignment horizontal="left" vertical="center" wrapText="1"/>
    </xf>
    <xf numFmtId="9" fontId="11" fillId="2" borderId="24" xfId="5" applyNumberFormat="1" applyFont="1" applyFill="1" applyBorder="1" applyAlignment="1">
      <alignment horizontal="center" vertical="center" wrapText="1"/>
    </xf>
    <xf numFmtId="4" fontId="11" fillId="0" borderId="42" xfId="5" applyNumberFormat="1" applyFont="1" applyFill="1" applyBorder="1" applyAlignment="1">
      <alignment horizontal="right" vertical="center" wrapText="1"/>
    </xf>
    <xf numFmtId="4" fontId="11" fillId="0" borderId="0" xfId="5" applyNumberFormat="1" applyFont="1" applyFill="1" applyBorder="1" applyAlignment="1">
      <alignment horizontal="right" vertical="center" wrapText="1"/>
    </xf>
    <xf numFmtId="0" fontId="11" fillId="0" borderId="34" xfId="1" quotePrefix="1" applyFont="1" applyFill="1" applyBorder="1" applyAlignment="1">
      <alignment vertical="center" wrapText="1"/>
    </xf>
    <xf numFmtId="0" fontId="11" fillId="2" borderId="24" xfId="6" applyNumberFormat="1" applyFont="1" applyFill="1" applyBorder="1" applyAlignment="1">
      <alignment horizontal="left" vertical="center" wrapText="1"/>
    </xf>
    <xf numFmtId="4" fontId="11" fillId="0" borderId="30" xfId="5" applyNumberFormat="1" applyFont="1" applyFill="1" applyBorder="1" applyAlignment="1">
      <alignment horizontal="right" vertical="center" wrapText="1"/>
    </xf>
    <xf numFmtId="3" fontId="11" fillId="2" borderId="24" xfId="5" applyNumberFormat="1" applyFont="1" applyFill="1" applyBorder="1" applyAlignment="1">
      <alignment horizontal="left" vertical="center" wrapText="1"/>
    </xf>
    <xf numFmtId="0" fontId="11" fillId="0" borderId="35" xfId="1" quotePrefix="1" applyFont="1" applyFill="1" applyBorder="1" applyAlignment="1">
      <alignment horizontal="center" vertical="center"/>
    </xf>
    <xf numFmtId="0" fontId="11" fillId="2" borderId="34" xfId="6" applyNumberFormat="1" applyFont="1" applyFill="1" applyBorder="1" applyAlignment="1">
      <alignment horizontal="left" vertical="center" wrapText="1"/>
    </xf>
    <xf numFmtId="9" fontId="11" fillId="2" borderId="34" xfId="5" applyNumberFormat="1" applyFont="1" applyFill="1" applyBorder="1" applyAlignment="1">
      <alignment horizontal="center" vertical="center" wrapText="1"/>
    </xf>
    <xf numFmtId="4" fontId="11" fillId="0" borderId="32" xfId="5" applyNumberFormat="1" applyFont="1" applyFill="1" applyBorder="1" applyAlignment="1">
      <alignment horizontal="right" vertical="center" wrapText="1"/>
    </xf>
    <xf numFmtId="0" fontId="13" fillId="2" borderId="0" xfId="1" applyFont="1" applyFill="1" applyAlignment="1">
      <alignment vertical="center"/>
    </xf>
    <xf numFmtId="0" fontId="11" fillId="2" borderId="41" xfId="1" applyFont="1" applyFill="1" applyBorder="1" applyAlignment="1">
      <alignment horizontal="center" vertical="center"/>
    </xf>
    <xf numFmtId="0" fontId="11" fillId="2" borderId="28" xfId="1" quotePrefix="1" applyFont="1" applyFill="1" applyBorder="1" applyAlignment="1">
      <alignment horizontal="center" vertical="center" wrapText="1"/>
    </xf>
    <xf numFmtId="3" fontId="11" fillId="2" borderId="28" xfId="5" applyNumberFormat="1" applyFont="1" applyFill="1" applyBorder="1" applyAlignment="1">
      <alignment horizontal="left" vertical="center" wrapText="1"/>
    </xf>
    <xf numFmtId="164" fontId="11" fillId="2" borderId="28" xfId="5" applyNumberFormat="1" applyFont="1" applyFill="1" applyBorder="1" applyAlignment="1">
      <alignment horizontal="center" vertical="center" wrapText="1"/>
    </xf>
    <xf numFmtId="4" fontId="11" fillId="2" borderId="42" xfId="5" applyNumberFormat="1" applyFont="1" applyFill="1" applyBorder="1" applyAlignment="1">
      <alignment horizontal="right" vertical="center" wrapText="1"/>
    </xf>
    <xf numFmtId="0" fontId="8" fillId="0" borderId="0" xfId="1" applyFont="1" applyFill="1" applyAlignment="1">
      <alignment horizontal="center" vertical="center"/>
    </xf>
    <xf numFmtId="165" fontId="11" fillId="0" borderId="30" xfId="5" applyNumberFormat="1" applyFont="1" applyFill="1" applyBorder="1" applyAlignment="1">
      <alignment horizontal="right" vertical="center" wrapText="1"/>
    </xf>
    <xf numFmtId="165" fontId="11" fillId="0" borderId="0" xfId="5" applyNumberFormat="1" applyFont="1" applyFill="1" applyBorder="1" applyAlignment="1">
      <alignment horizontal="right" vertical="center" wrapText="1"/>
    </xf>
    <xf numFmtId="0" fontId="11" fillId="0" borderId="0" xfId="1" applyFont="1" applyFill="1" applyAlignment="1">
      <alignment vertical="center"/>
    </xf>
    <xf numFmtId="165" fontId="11" fillId="0" borderId="0" xfId="1" applyNumberFormat="1" applyFont="1" applyFill="1" applyAlignment="1">
      <alignment vertical="center"/>
    </xf>
    <xf numFmtId="0" fontId="7" fillId="2" borderId="25" xfId="1" quotePrefix="1" applyFont="1" applyFill="1" applyBorder="1" applyAlignment="1">
      <alignment horizontal="right" vertical="center" wrapText="1"/>
    </xf>
    <xf numFmtId="0" fontId="7" fillId="6" borderId="26" xfId="5" applyFont="1" applyFill="1" applyBorder="1" applyAlignment="1">
      <alignment vertical="center" wrapText="1"/>
    </xf>
    <xf numFmtId="165" fontId="7" fillId="0" borderId="30" xfId="5" applyNumberFormat="1" applyFont="1" applyFill="1" applyBorder="1" applyAlignment="1">
      <alignment horizontal="right" vertical="center" wrapText="1"/>
    </xf>
    <xf numFmtId="165" fontId="7" fillId="0" borderId="0" xfId="5" applyNumberFormat="1" applyFont="1" applyFill="1" applyBorder="1" applyAlignment="1">
      <alignment horizontal="right" vertical="center" wrapText="1"/>
    </xf>
    <xf numFmtId="9" fontId="7" fillId="2" borderId="24" xfId="8" applyFont="1" applyFill="1" applyBorder="1" applyAlignment="1">
      <alignment horizontal="center" vertical="center"/>
    </xf>
    <xf numFmtId="0" fontId="11" fillId="6" borderId="26" xfId="5" applyFont="1" applyFill="1" applyBorder="1" applyAlignment="1">
      <alignment vertical="center" wrapText="1"/>
    </xf>
    <xf numFmtId="9" fontId="11" fillId="2" borderId="28" xfId="8" applyFont="1" applyFill="1" applyBorder="1" applyAlignment="1">
      <alignment horizontal="center" vertical="center"/>
    </xf>
    <xf numFmtId="165" fontId="11" fillId="0" borderId="42" xfId="5" applyNumberFormat="1" applyFont="1" applyFill="1" applyBorder="1" applyAlignment="1">
      <alignment horizontal="right" vertical="center" wrapText="1"/>
    </xf>
    <xf numFmtId="9" fontId="7" fillId="2" borderId="28" xfId="8" applyFont="1" applyFill="1" applyBorder="1" applyAlignment="1">
      <alignment horizontal="center" vertical="center"/>
    </xf>
    <xf numFmtId="165" fontId="7" fillId="0" borderId="42" xfId="5" applyNumberFormat="1" applyFont="1" applyFill="1" applyBorder="1" applyAlignment="1">
      <alignment horizontal="right" vertical="center" wrapText="1"/>
    </xf>
    <xf numFmtId="0" fontId="11" fillId="0" borderId="24" xfId="2" applyNumberFormat="1" applyFont="1" applyFill="1" applyBorder="1" applyAlignment="1">
      <alignment horizontal="left" vertical="center" wrapText="1"/>
    </xf>
    <xf numFmtId="0" fontId="11" fillId="2" borderId="29" xfId="1" quotePrefix="1" applyFont="1" applyFill="1" applyBorder="1" applyAlignment="1">
      <alignment horizontal="center" vertical="center" wrapText="1"/>
    </xf>
    <xf numFmtId="0" fontId="11" fillId="2" borderId="35" xfId="1" applyFont="1" applyFill="1" applyBorder="1" applyAlignment="1">
      <alignment horizontal="center" vertical="center"/>
    </xf>
    <xf numFmtId="0" fontId="11" fillId="2" borderId="34" xfId="1" quotePrefix="1" applyFont="1" applyFill="1" applyBorder="1" applyAlignment="1">
      <alignment horizontal="center" vertical="center" wrapText="1"/>
    </xf>
    <xf numFmtId="0" fontId="11" fillId="0" borderId="35" xfId="1" applyFont="1" applyFill="1" applyBorder="1" applyAlignment="1">
      <alignment horizontal="center" vertical="center"/>
    </xf>
    <xf numFmtId="0" fontId="11" fillId="0" borderId="34" xfId="1" quotePrefix="1" applyFont="1" applyFill="1" applyBorder="1" applyAlignment="1">
      <alignment horizontal="center" vertical="center" wrapText="1"/>
    </xf>
    <xf numFmtId="0" fontId="11" fillId="0" borderId="34" xfId="6" applyNumberFormat="1" applyFont="1" applyFill="1" applyBorder="1" applyAlignment="1">
      <alignment horizontal="left" vertical="center" wrapText="1"/>
    </xf>
    <xf numFmtId="9" fontId="11" fillId="0" borderId="34" xfId="5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0" fontId="9" fillId="2" borderId="41" xfId="1" applyFont="1" applyFill="1" applyBorder="1" applyAlignment="1">
      <alignment horizontal="center" vertical="center"/>
    </xf>
    <xf numFmtId="0" fontId="9" fillId="2" borderId="28" xfId="1" quotePrefix="1" applyFont="1" applyFill="1" applyBorder="1" applyAlignment="1">
      <alignment horizontal="center" vertical="center" wrapText="1"/>
    </xf>
    <xf numFmtId="9" fontId="11" fillId="2" borderId="28" xfId="5" applyNumberFormat="1" applyFont="1" applyFill="1" applyBorder="1" applyAlignment="1">
      <alignment horizontal="center" vertical="center" wrapText="1"/>
    </xf>
    <xf numFmtId="4" fontId="11" fillId="2" borderId="30" xfId="5" applyNumberFormat="1" applyFont="1" applyFill="1" applyBorder="1" applyAlignment="1">
      <alignment horizontal="right" vertical="center" wrapText="1"/>
    </xf>
    <xf numFmtId="0" fontId="11" fillId="2" borderId="23" xfId="1" applyFont="1" applyFill="1" applyBorder="1" applyAlignment="1">
      <alignment horizontal="center" vertical="center"/>
    </xf>
    <xf numFmtId="0" fontId="11" fillId="2" borderId="25" xfId="1" quotePrefix="1" applyFont="1" applyFill="1" applyBorder="1" applyAlignment="1">
      <alignment horizontal="center" vertical="center" wrapText="1"/>
    </xf>
    <xf numFmtId="0" fontId="11" fillId="2" borderId="39" xfId="1" quotePrefix="1" applyFont="1" applyFill="1" applyBorder="1" applyAlignment="1">
      <alignment horizontal="center" vertical="center" wrapText="1"/>
    </xf>
    <xf numFmtId="4" fontId="11" fillId="2" borderId="32" xfId="5" applyNumberFormat="1" applyFont="1" applyFill="1" applyBorder="1" applyAlignment="1">
      <alignment horizontal="right" vertical="center" wrapText="1"/>
    </xf>
    <xf numFmtId="0" fontId="11" fillId="2" borderId="47" xfId="1" applyFont="1" applyFill="1" applyBorder="1" applyAlignment="1">
      <alignment horizontal="center" vertical="center"/>
    </xf>
    <xf numFmtId="0" fontId="11" fillId="2" borderId="48" xfId="1" quotePrefix="1" applyFont="1" applyFill="1" applyBorder="1" applyAlignment="1">
      <alignment horizontal="center" vertical="center" wrapText="1"/>
    </xf>
    <xf numFmtId="0" fontId="11" fillId="2" borderId="48" xfId="6" applyNumberFormat="1" applyFont="1" applyFill="1" applyBorder="1" applyAlignment="1">
      <alignment horizontal="left" vertical="center" wrapText="1"/>
    </xf>
    <xf numFmtId="4" fontId="11" fillId="2" borderId="49" xfId="5" applyNumberFormat="1" applyFont="1" applyFill="1" applyBorder="1" applyAlignment="1">
      <alignment horizontal="right" vertical="center" wrapText="1"/>
    </xf>
    <xf numFmtId="0" fontId="13" fillId="2" borderId="47" xfId="1" applyFont="1" applyFill="1" applyBorder="1" applyAlignment="1">
      <alignment horizontal="center" vertical="center"/>
    </xf>
    <xf numFmtId="0" fontId="13" fillId="2" borderId="48" xfId="1" quotePrefix="1" applyFont="1" applyFill="1" applyBorder="1" applyAlignment="1">
      <alignment horizontal="center" vertical="center" wrapText="1"/>
    </xf>
    <xf numFmtId="0" fontId="13" fillId="2" borderId="44" xfId="1" quotePrefix="1" applyFont="1" applyFill="1" applyBorder="1" applyAlignment="1">
      <alignment horizontal="center" vertical="center" wrapText="1"/>
    </xf>
    <xf numFmtId="0" fontId="13" fillId="2" borderId="48" xfId="2" applyNumberFormat="1" applyFont="1" applyFill="1" applyBorder="1" applyAlignment="1">
      <alignment horizontal="left" vertical="center" wrapText="1"/>
    </xf>
    <xf numFmtId="164" fontId="13" fillId="2" borderId="48" xfId="1" applyNumberFormat="1" applyFont="1" applyFill="1" applyBorder="1" applyAlignment="1">
      <alignment horizontal="center" vertical="center" wrapText="1"/>
    </xf>
    <xf numFmtId="165" fontId="13" fillId="2" borderId="49" xfId="3" applyNumberFormat="1" applyFont="1" applyFill="1" applyBorder="1" applyAlignment="1">
      <alignment horizontal="right" vertical="center" wrapText="1"/>
    </xf>
    <xf numFmtId="165" fontId="13" fillId="0" borderId="0" xfId="3" applyNumberFormat="1" applyFont="1" applyFill="1" applyBorder="1" applyAlignment="1">
      <alignment horizontal="right" vertical="center" wrapText="1"/>
    </xf>
    <xf numFmtId="0" fontId="9" fillId="4" borderId="50" xfId="1" quotePrefix="1" applyFont="1" applyFill="1" applyBorder="1" applyAlignment="1">
      <alignment horizontal="center" vertical="center"/>
    </xf>
    <xf numFmtId="165" fontId="9" fillId="4" borderId="12" xfId="3" applyNumberFormat="1" applyFont="1" applyFill="1" applyBorder="1" applyAlignment="1">
      <alignment horizontal="right" vertical="center" wrapText="1"/>
    </xf>
    <xf numFmtId="165" fontId="9" fillId="0" borderId="0" xfId="3" applyNumberFormat="1" applyFont="1" applyFill="1" applyBorder="1" applyAlignment="1">
      <alignment horizontal="right" vertical="center" wrapText="1"/>
    </xf>
    <xf numFmtId="0" fontId="9" fillId="5" borderId="17" xfId="5" applyFont="1" applyFill="1" applyBorder="1" applyAlignment="1">
      <alignment vertical="top" wrapText="1"/>
    </xf>
    <xf numFmtId="0" fontId="11" fillId="5" borderId="17" xfId="5" applyFont="1" applyFill="1" applyBorder="1" applyAlignment="1">
      <alignment vertical="center"/>
    </xf>
    <xf numFmtId="166" fontId="9" fillId="5" borderId="11" xfId="4" applyNumberFormat="1" applyFont="1" applyFill="1" applyBorder="1" applyAlignment="1">
      <alignment horizontal="center" vertical="center" wrapText="1"/>
    </xf>
    <xf numFmtId="166" fontId="9" fillId="0" borderId="0" xfId="4" applyNumberFormat="1" applyFont="1" applyFill="1" applyBorder="1" applyAlignment="1">
      <alignment horizontal="center" vertical="center" wrapText="1"/>
    </xf>
    <xf numFmtId="0" fontId="11" fillId="2" borderId="24" xfId="1" quotePrefix="1" applyFont="1" applyFill="1" applyBorder="1" applyAlignment="1">
      <alignment horizontal="center" vertical="center" wrapText="1"/>
    </xf>
    <xf numFmtId="9" fontId="11" fillId="0" borderId="24" xfId="5" applyNumberFormat="1" applyFont="1" applyBorder="1" applyAlignment="1">
      <alignment horizontal="center" vertical="center"/>
    </xf>
    <xf numFmtId="166" fontId="11" fillId="0" borderId="30" xfId="4" applyNumberFormat="1" applyFont="1" applyFill="1" applyBorder="1" applyAlignment="1">
      <alignment horizontal="center" vertical="center"/>
    </xf>
    <xf numFmtId="166" fontId="11" fillId="0" borderId="0" xfId="4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11" fillId="0" borderId="51" xfId="1" quotePrefix="1" applyFont="1" applyFill="1" applyBorder="1" applyAlignment="1">
      <alignment horizontal="center" vertical="center"/>
    </xf>
    <xf numFmtId="0" fontId="7" fillId="0" borderId="24" xfId="5" applyFont="1" applyBorder="1" applyAlignment="1">
      <alignment horizontal="center" vertical="center" wrapText="1"/>
    </xf>
    <xf numFmtId="2" fontId="7" fillId="0" borderId="24" xfId="1" applyNumberFormat="1" applyFont="1" applyBorder="1" applyAlignment="1">
      <alignment horizontal="center" vertical="center" wrapText="1"/>
    </xf>
    <xf numFmtId="166" fontId="11" fillId="0" borderId="30" xfId="4" applyNumberFormat="1" applyFont="1" applyFill="1" applyBorder="1" applyAlignment="1">
      <alignment horizontal="center" vertical="center" wrapText="1"/>
    </xf>
    <xf numFmtId="166" fontId="11" fillId="0" borderId="0" xfId="4" applyNumberFormat="1" applyFont="1" applyFill="1" applyBorder="1" applyAlignment="1">
      <alignment horizontal="center" vertical="center" wrapText="1"/>
    </xf>
    <xf numFmtId="0" fontId="7" fillId="0" borderId="23" xfId="1" quotePrefix="1" applyFont="1" applyFill="1" applyBorder="1" applyAlignment="1">
      <alignment horizontal="center" vertical="center"/>
    </xf>
    <xf numFmtId="0" fontId="7" fillId="0" borderId="24" xfId="1" quotePrefix="1" applyFont="1" applyFill="1" applyBorder="1" applyAlignment="1">
      <alignment vertical="center" wrapText="1"/>
    </xf>
    <xf numFmtId="0" fontId="7" fillId="0" borderId="24" xfId="5" applyFont="1" applyFill="1" applyBorder="1" applyAlignment="1">
      <alignment horizontal="center" vertical="center"/>
    </xf>
    <xf numFmtId="0" fontId="7" fillId="0" borderId="25" xfId="5" applyFont="1" applyFill="1" applyBorder="1" applyAlignment="1">
      <alignment horizontal="right" vertical="top" wrapText="1"/>
    </xf>
    <xf numFmtId="0" fontId="7" fillId="2" borderId="27" xfId="5" applyFont="1" applyFill="1" applyBorder="1" applyAlignment="1">
      <alignment vertical="center" wrapText="1"/>
    </xf>
    <xf numFmtId="2" fontId="7" fillId="0" borderId="24" xfId="8" applyNumberFormat="1" applyFont="1" applyFill="1" applyBorder="1" applyAlignment="1">
      <alignment horizontal="center" vertical="center"/>
    </xf>
    <xf numFmtId="166" fontId="7" fillId="0" borderId="30" xfId="4" applyNumberFormat="1" applyFont="1" applyFill="1" applyBorder="1" applyAlignment="1">
      <alignment horizontal="center" vertical="center" wrapText="1"/>
    </xf>
    <xf numFmtId="166" fontId="7" fillId="0" borderId="0" xfId="4" applyNumberFormat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/>
    </xf>
    <xf numFmtId="0" fontId="7" fillId="0" borderId="24" xfId="1" quotePrefix="1" applyFont="1" applyFill="1" applyBorder="1" applyAlignment="1">
      <alignment horizontal="center" vertical="center" wrapText="1"/>
    </xf>
    <xf numFmtId="0" fontId="7" fillId="0" borderId="25" xfId="5" applyFont="1" applyBorder="1" applyAlignment="1">
      <alignment horizontal="center" vertical="center" wrapText="1"/>
    </xf>
    <xf numFmtId="0" fontId="7" fillId="0" borderId="25" xfId="5" applyFont="1" applyBorder="1" applyAlignment="1">
      <alignment horizontal="left" vertical="center" wrapText="1" indent="1"/>
    </xf>
    <xf numFmtId="0" fontId="7" fillId="2" borderId="27" xfId="1" applyFont="1" applyFill="1" applyBorder="1" applyAlignment="1">
      <alignment horizontal="left" vertical="center" wrapText="1"/>
    </xf>
    <xf numFmtId="0" fontId="7" fillId="0" borderId="24" xfId="5" applyFont="1" applyBorder="1" applyAlignment="1">
      <alignment wrapText="1"/>
    </xf>
    <xf numFmtId="0" fontId="14" fillId="0" borderId="0" xfId="1" applyFont="1" applyFill="1" applyAlignment="1">
      <alignment vertical="center"/>
    </xf>
    <xf numFmtId="9" fontId="11" fillId="0" borderId="24" xfId="8" applyFont="1" applyFill="1" applyBorder="1" applyAlignment="1">
      <alignment horizontal="center" vertical="center"/>
    </xf>
    <xf numFmtId="166" fontId="9" fillId="0" borderId="30" xfId="4" applyNumberFormat="1" applyFont="1" applyFill="1" applyBorder="1" applyAlignment="1">
      <alignment horizontal="center" vertical="center" wrapText="1"/>
    </xf>
    <xf numFmtId="165" fontId="9" fillId="0" borderId="0" xfId="1" applyNumberFormat="1" applyFont="1" applyFill="1" applyAlignment="1">
      <alignment vertical="center"/>
    </xf>
    <xf numFmtId="9" fontId="7" fillId="0" borderId="24" xfId="8" applyFont="1" applyFill="1" applyBorder="1" applyAlignment="1">
      <alignment horizontal="center" vertical="center"/>
    </xf>
    <xf numFmtId="0" fontId="7" fillId="0" borderId="27" xfId="5" applyFont="1" applyFill="1" applyBorder="1" applyAlignment="1">
      <alignment horizontal="left" vertical="center" wrapText="1"/>
    </xf>
    <xf numFmtId="3" fontId="7" fillId="0" borderId="27" xfId="1" applyNumberFormat="1" applyFont="1" applyFill="1" applyBorder="1" applyAlignment="1">
      <alignment horizontal="left" vertical="center" wrapText="1"/>
    </xf>
    <xf numFmtId="0" fontId="11" fillId="0" borderId="24" xfId="1" quotePrefix="1" applyFont="1" applyFill="1" applyBorder="1" applyAlignment="1">
      <alignment horizontal="center" vertical="center" wrapText="1"/>
    </xf>
    <xf numFmtId="0" fontId="11" fillId="2" borderId="24" xfId="5" applyFont="1" applyFill="1" applyBorder="1" applyAlignment="1">
      <alignment horizontal="left" vertical="top" wrapText="1"/>
    </xf>
    <xf numFmtId="9" fontId="11" fillId="2" borderId="24" xfId="5" applyNumberFormat="1" applyFont="1" applyFill="1" applyBorder="1" applyAlignment="1">
      <alignment horizontal="center" vertical="center"/>
    </xf>
    <xf numFmtId="165" fontId="11" fillId="0" borderId="30" xfId="5" applyNumberFormat="1" applyFont="1" applyFill="1" applyBorder="1" applyAlignment="1">
      <alignment horizontal="right" vertical="top"/>
    </xf>
    <xf numFmtId="165" fontId="11" fillId="0" borderId="0" xfId="5" applyNumberFormat="1" applyFont="1" applyFill="1" applyBorder="1" applyAlignment="1">
      <alignment horizontal="right" vertical="top"/>
    </xf>
    <xf numFmtId="165" fontId="11" fillId="2" borderId="0" xfId="1" applyNumberFormat="1" applyFont="1" applyFill="1" applyAlignment="1">
      <alignment vertical="center"/>
    </xf>
    <xf numFmtId="166" fontId="11" fillId="0" borderId="30" xfId="4" applyNumberFormat="1" applyFont="1" applyFill="1" applyBorder="1" applyAlignment="1">
      <alignment horizontal="right" vertical="center" wrapText="1"/>
    </xf>
    <xf numFmtId="166" fontId="11" fillId="0" borderId="0" xfId="4" applyNumberFormat="1" applyFont="1" applyFill="1" applyBorder="1" applyAlignment="1">
      <alignment horizontal="right" vertical="center" wrapText="1"/>
    </xf>
    <xf numFmtId="164" fontId="11" fillId="0" borderId="0" xfId="4" applyFont="1" applyFill="1" applyAlignment="1">
      <alignment vertical="center"/>
    </xf>
    <xf numFmtId="166" fontId="11" fillId="0" borderId="30" xfId="4" applyNumberFormat="1" applyFont="1" applyFill="1" applyBorder="1" applyAlignment="1">
      <alignment horizontal="right" vertical="center"/>
    </xf>
    <xf numFmtId="166" fontId="11" fillId="0" borderId="0" xfId="4" applyNumberFormat="1" applyFont="1" applyFill="1" applyBorder="1" applyAlignment="1">
      <alignment horizontal="right" vertical="center"/>
    </xf>
    <xf numFmtId="165" fontId="7" fillId="0" borderId="0" xfId="1" applyNumberFormat="1" applyFont="1" applyFill="1" applyAlignment="1">
      <alignment vertical="center"/>
    </xf>
    <xf numFmtId="0" fontId="11" fillId="0" borderId="34" xfId="5" applyFont="1" applyBorder="1" applyAlignment="1">
      <alignment vertical="center" wrapText="1"/>
    </xf>
    <xf numFmtId="9" fontId="11" fillId="0" borderId="34" xfId="5" applyNumberFormat="1" applyFont="1" applyBorder="1" applyAlignment="1">
      <alignment horizontal="center" vertical="center"/>
    </xf>
    <xf numFmtId="166" fontId="11" fillId="0" borderId="32" xfId="4" applyNumberFormat="1" applyFont="1" applyFill="1" applyBorder="1" applyAlignment="1">
      <alignment horizontal="center" vertical="center" wrapText="1"/>
    </xf>
    <xf numFmtId="41" fontId="9" fillId="0" borderId="0" xfId="15" applyFont="1" applyFill="1" applyAlignment="1">
      <alignment vertical="center"/>
    </xf>
    <xf numFmtId="0" fontId="7" fillId="2" borderId="24" xfId="1" quotePrefix="1" applyFont="1" applyFill="1" applyBorder="1" applyAlignment="1">
      <alignment horizontal="center" vertical="center" wrapText="1"/>
    </xf>
    <xf numFmtId="0" fontId="7" fillId="2" borderId="25" xfId="1" quotePrefix="1" applyFont="1" applyFill="1" applyBorder="1" applyAlignment="1">
      <alignment horizontal="center" vertical="center" wrapText="1"/>
    </xf>
    <xf numFmtId="0" fontId="7" fillId="0" borderId="39" xfId="5" applyFont="1" applyBorder="1" applyAlignment="1">
      <alignment horizontal="right" vertical="center" wrapText="1"/>
    </xf>
    <xf numFmtId="0" fontId="7" fillId="0" borderId="22" xfId="5" applyFont="1" applyBorder="1" applyAlignment="1">
      <alignment vertical="center" wrapText="1"/>
    </xf>
    <xf numFmtId="0" fontId="7" fillId="0" borderId="34" xfId="5" applyFont="1" applyBorder="1" applyAlignment="1">
      <alignment vertical="center" wrapText="1"/>
    </xf>
    <xf numFmtId="9" fontId="7" fillId="0" borderId="34" xfId="5" applyNumberFormat="1" applyFont="1" applyBorder="1" applyAlignment="1">
      <alignment horizontal="center" vertical="center"/>
    </xf>
    <xf numFmtId="166" fontId="7" fillId="0" borderId="32" xfId="4" applyNumberFormat="1" applyFont="1" applyFill="1" applyBorder="1" applyAlignment="1">
      <alignment horizontal="center" vertical="center" wrapText="1"/>
    </xf>
    <xf numFmtId="0" fontId="15" fillId="0" borderId="0" xfId="1" applyFont="1" applyFill="1" applyAlignment="1">
      <alignment vertical="center"/>
    </xf>
    <xf numFmtId="41" fontId="15" fillId="0" borderId="0" xfId="1" applyNumberFormat="1" applyFont="1" applyFill="1" applyAlignment="1">
      <alignment vertical="center"/>
    </xf>
    <xf numFmtId="0" fontId="11" fillId="0" borderId="24" xfId="5" applyFont="1" applyBorder="1" applyAlignment="1">
      <alignment horizontal="left" vertical="center" wrapText="1"/>
    </xf>
    <xf numFmtId="9" fontId="11" fillId="0" borderId="24" xfId="8" applyFont="1" applyBorder="1" applyAlignment="1">
      <alignment horizontal="center" vertical="center"/>
    </xf>
    <xf numFmtId="166" fontId="13" fillId="0" borderId="30" xfId="4" applyNumberFormat="1" applyFont="1" applyFill="1" applyBorder="1" applyAlignment="1">
      <alignment horizontal="center" vertical="center" wrapText="1"/>
    </xf>
    <xf numFmtId="166" fontId="13" fillId="0" borderId="0" xfId="4" applyNumberFormat="1" applyFont="1" applyFill="1" applyBorder="1" applyAlignment="1">
      <alignment horizontal="center" vertical="center" wrapText="1"/>
    </xf>
    <xf numFmtId="0" fontId="7" fillId="0" borderId="25" xfId="5" applyFont="1" applyBorder="1" applyAlignment="1">
      <alignment horizontal="left" vertical="center" wrapText="1"/>
    </xf>
    <xf numFmtId="0" fontId="7" fillId="0" borderId="27" xfId="5" applyFont="1" applyBorder="1" applyAlignment="1">
      <alignment horizontal="left" vertical="center" wrapText="1"/>
    </xf>
    <xf numFmtId="0" fontId="7" fillId="0" borderId="24" xfId="5" applyFont="1" applyBorder="1" applyAlignment="1">
      <alignment horizontal="left" vertical="center" wrapText="1"/>
    </xf>
    <xf numFmtId="0" fontId="11" fillId="2" borderId="24" xfId="5" applyFont="1" applyFill="1" applyBorder="1" applyAlignment="1">
      <alignment horizontal="left" vertical="center" wrapText="1"/>
    </xf>
    <xf numFmtId="0" fontId="11" fillId="0" borderId="24" xfId="5" applyFont="1" applyBorder="1" applyAlignment="1">
      <alignment vertical="center" wrapText="1"/>
    </xf>
    <xf numFmtId="0" fontId="7" fillId="0" borderId="25" xfId="5" applyFont="1" applyBorder="1" applyAlignment="1">
      <alignment horizontal="left" vertical="top" wrapText="1" indent="1"/>
    </xf>
    <xf numFmtId="0" fontId="7" fillId="0" borderId="27" xfId="2" applyNumberFormat="1" applyFont="1" applyFill="1" applyBorder="1" applyAlignment="1">
      <alignment horizontal="left" vertical="center" wrapText="1"/>
    </xf>
    <xf numFmtId="2" fontId="7" fillId="0" borderId="24" xfId="1" applyNumberFormat="1" applyFont="1" applyFill="1" applyBorder="1" applyAlignment="1">
      <alignment horizontal="center" vertical="center" wrapText="1"/>
    </xf>
    <xf numFmtId="166" fontId="7" fillId="0" borderId="30" xfId="4" applyNumberFormat="1" applyFont="1" applyFill="1" applyBorder="1" applyAlignment="1">
      <alignment horizontal="center" vertical="center"/>
    </xf>
    <xf numFmtId="166" fontId="7" fillId="0" borderId="0" xfId="4" applyNumberFormat="1" applyFont="1" applyFill="1" applyBorder="1" applyAlignment="1">
      <alignment horizontal="center" vertical="center"/>
    </xf>
    <xf numFmtId="43" fontId="11" fillId="0" borderId="0" xfId="1" applyNumberFormat="1" applyFont="1" applyFill="1" applyAlignment="1">
      <alignment vertical="center"/>
    </xf>
    <xf numFmtId="0" fontId="7" fillId="0" borderId="27" xfId="1" applyFont="1" applyFill="1" applyBorder="1" applyAlignment="1">
      <alignment horizontal="left" vertical="center" wrapText="1"/>
    </xf>
    <xf numFmtId="164" fontId="7" fillId="0" borderId="0" xfId="4" applyFont="1" applyFill="1" applyAlignment="1">
      <alignment vertical="center"/>
    </xf>
    <xf numFmtId="0" fontId="16" fillId="0" borderId="0" xfId="1" applyFont="1" applyFill="1" applyAlignment="1">
      <alignment horizontal="center" vertical="center"/>
    </xf>
    <xf numFmtId="0" fontId="17" fillId="0" borderId="23" xfId="1" applyFont="1" applyFill="1" applyBorder="1" applyAlignment="1">
      <alignment horizontal="center" vertical="center"/>
    </xf>
    <xf numFmtId="0" fontId="17" fillId="0" borderId="24" xfId="1" quotePrefix="1" applyFont="1" applyFill="1" applyBorder="1" applyAlignment="1">
      <alignment horizontal="center" vertical="center" wrapText="1"/>
    </xf>
    <xf numFmtId="0" fontId="17" fillId="0" borderId="24" xfId="5" applyFont="1" applyBorder="1" applyAlignment="1">
      <alignment horizontal="center" vertical="center" wrapText="1"/>
    </xf>
    <xf numFmtId="0" fontId="17" fillId="0" borderId="25" xfId="5" applyFont="1" applyBorder="1" applyAlignment="1">
      <alignment horizontal="left" vertical="center" wrapText="1" indent="1"/>
    </xf>
    <xf numFmtId="0" fontId="17" fillId="0" borderId="27" xfId="1" applyFont="1" applyFill="1" applyBorder="1" applyAlignment="1">
      <alignment horizontal="left" vertical="center" wrapText="1"/>
    </xf>
    <xf numFmtId="0" fontId="17" fillId="0" borderId="24" xfId="5" applyFont="1" applyBorder="1" applyAlignment="1">
      <alignment wrapText="1"/>
    </xf>
    <xf numFmtId="2" fontId="17" fillId="0" borderId="24" xfId="1" applyNumberFormat="1" applyFont="1" applyFill="1" applyBorder="1" applyAlignment="1">
      <alignment horizontal="center" vertical="center" wrapText="1"/>
    </xf>
    <xf numFmtId="166" fontId="17" fillId="0" borderId="30" xfId="4" applyNumberFormat="1" applyFont="1" applyFill="1" applyBorder="1" applyAlignment="1">
      <alignment horizontal="center" vertical="center"/>
    </xf>
    <xf numFmtId="166" fontId="17" fillId="0" borderId="0" xfId="4" applyNumberFormat="1" applyFont="1" applyFill="1" applyBorder="1" applyAlignment="1">
      <alignment horizontal="center" vertical="center"/>
    </xf>
    <xf numFmtId="0" fontId="17" fillId="0" borderId="0" xfId="1" applyFont="1" applyFill="1" applyAlignment="1">
      <alignment vertical="center"/>
    </xf>
    <xf numFmtId="164" fontId="17" fillId="0" borderId="0" xfId="4" applyFont="1" applyFill="1" applyAlignment="1">
      <alignment vertical="center"/>
    </xf>
    <xf numFmtId="0" fontId="14" fillId="0" borderId="23" xfId="1" applyFont="1" applyFill="1" applyBorder="1" applyAlignment="1">
      <alignment horizontal="center" vertical="center"/>
    </xf>
    <xf numFmtId="0" fontId="14" fillId="0" borderId="24" xfId="1" quotePrefix="1" applyFont="1" applyFill="1" applyBorder="1" applyAlignment="1">
      <alignment horizontal="center" vertical="center" wrapText="1"/>
    </xf>
    <xf numFmtId="0" fontId="14" fillId="0" borderId="25" xfId="5" applyFont="1" applyBorder="1" applyAlignment="1">
      <alignment horizontal="left" vertical="center" wrapText="1" indent="1"/>
    </xf>
    <xf numFmtId="2" fontId="14" fillId="0" borderId="24" xfId="1" applyNumberFormat="1" applyFont="1" applyFill="1" applyBorder="1" applyAlignment="1">
      <alignment horizontal="center" vertical="center" wrapText="1"/>
    </xf>
    <xf numFmtId="166" fontId="14" fillId="0" borderId="30" xfId="4" applyNumberFormat="1" applyFont="1" applyFill="1" applyBorder="1" applyAlignment="1">
      <alignment horizontal="center" vertical="center"/>
    </xf>
    <xf numFmtId="166" fontId="14" fillId="0" borderId="0" xfId="4" applyNumberFormat="1" applyFont="1" applyFill="1" applyBorder="1" applyAlignment="1">
      <alignment horizontal="center" vertical="center"/>
    </xf>
    <xf numFmtId="167" fontId="11" fillId="0" borderId="24" xfId="5" applyNumberFormat="1" applyFont="1" applyFill="1" applyBorder="1" applyAlignment="1">
      <alignment horizontal="center" vertical="center"/>
    </xf>
    <xf numFmtId="0" fontId="7" fillId="0" borderId="27" xfId="2" applyNumberFormat="1" applyFont="1" applyFill="1" applyBorder="1" applyAlignment="1">
      <alignment horizontal="left" vertical="top" wrapText="1"/>
    </xf>
    <xf numFmtId="0" fontId="17" fillId="0" borderId="27" xfId="2" applyNumberFormat="1" applyFont="1" applyFill="1" applyBorder="1" applyAlignment="1">
      <alignment horizontal="left" vertical="top" wrapText="1"/>
    </xf>
    <xf numFmtId="2" fontId="17" fillId="0" borderId="24" xfId="1" applyNumberFormat="1" applyFont="1" applyBorder="1" applyAlignment="1">
      <alignment horizontal="center" vertical="center" wrapText="1"/>
    </xf>
    <xf numFmtId="0" fontId="14" fillId="0" borderId="25" xfId="5" applyFont="1" applyBorder="1" applyAlignment="1">
      <alignment horizontal="center" vertical="center" wrapText="1"/>
    </xf>
    <xf numFmtId="2" fontId="14" fillId="0" borderId="24" xfId="1" applyNumberFormat="1" applyFont="1" applyBorder="1" applyAlignment="1">
      <alignment horizontal="center" vertical="center" wrapText="1"/>
    </xf>
    <xf numFmtId="0" fontId="17" fillId="0" borderId="25" xfId="5" applyFont="1" applyBorder="1" applyAlignment="1">
      <alignment horizontal="center" vertical="center" wrapText="1"/>
    </xf>
    <xf numFmtId="0" fontId="17" fillId="0" borderId="25" xfId="5" quotePrefix="1" applyFont="1" applyBorder="1" applyAlignment="1">
      <alignment horizontal="left" vertical="center" wrapText="1" indent="1"/>
    </xf>
    <xf numFmtId="0" fontId="17" fillId="0" borderId="27" xfId="2" applyNumberFormat="1" applyFont="1" applyFill="1" applyBorder="1" applyAlignment="1">
      <alignment horizontal="left" vertical="center" wrapText="1"/>
    </xf>
    <xf numFmtId="0" fontId="14" fillId="0" borderId="27" xfId="2" applyNumberFormat="1" applyFont="1" applyFill="1" applyBorder="1" applyAlignment="1">
      <alignment horizontal="left" vertical="center" wrapText="1"/>
    </xf>
    <xf numFmtId="0" fontId="14" fillId="0" borderId="25" xfId="5" quotePrefix="1" applyFont="1" applyBorder="1" applyAlignment="1">
      <alignment horizontal="left" vertical="top" wrapText="1" indent="1"/>
    </xf>
    <xf numFmtId="3" fontId="14" fillId="0" borderId="27" xfId="1" applyNumberFormat="1" applyFont="1" applyFill="1" applyBorder="1" applyAlignment="1">
      <alignment horizontal="left" vertical="center" wrapText="1"/>
    </xf>
    <xf numFmtId="0" fontId="17" fillId="0" borderId="25" xfId="5" quotePrefix="1" applyFont="1" applyBorder="1" applyAlignment="1">
      <alignment horizontal="left" vertical="top" wrapText="1" indent="1"/>
    </xf>
    <xf numFmtId="3" fontId="17" fillId="0" borderId="27" xfId="1" applyNumberFormat="1" applyFont="1" applyFill="1" applyBorder="1" applyAlignment="1">
      <alignment horizontal="left" vertical="center" wrapText="1"/>
    </xf>
    <xf numFmtId="2" fontId="17" fillId="0" borderId="34" xfId="1" quotePrefix="1" applyNumberFormat="1" applyFont="1" applyBorder="1" applyAlignment="1">
      <alignment horizontal="center" vertical="center" wrapText="1"/>
    </xf>
    <xf numFmtId="2" fontId="17" fillId="0" borderId="24" xfId="1" quotePrefix="1" applyNumberFormat="1" applyFont="1" applyBorder="1" applyAlignment="1">
      <alignment horizontal="center" vertical="center" wrapText="1"/>
    </xf>
    <xf numFmtId="0" fontId="7" fillId="0" borderId="25" xfId="5" applyFont="1" applyBorder="1" applyAlignment="1">
      <alignment horizontal="center" vertical="top" wrapText="1"/>
    </xf>
    <xf numFmtId="2" fontId="7" fillId="0" borderId="34" xfId="1" applyNumberFormat="1" applyFont="1" applyBorder="1" applyAlignment="1">
      <alignment horizontal="center" vertical="center" wrapText="1"/>
    </xf>
    <xf numFmtId="4" fontId="7" fillId="0" borderId="30" xfId="5" applyNumberFormat="1" applyFont="1" applyFill="1" applyBorder="1" applyAlignment="1">
      <alignment horizontal="right" vertical="center" wrapText="1"/>
    </xf>
    <xf numFmtId="4" fontId="7" fillId="0" borderId="0" xfId="5" applyNumberFormat="1" applyFont="1" applyFill="1" applyBorder="1" applyAlignment="1">
      <alignment horizontal="right" vertical="center" wrapText="1"/>
    </xf>
    <xf numFmtId="0" fontId="7" fillId="0" borderId="27" xfId="5" applyFont="1" applyBorder="1" applyAlignment="1">
      <alignment horizontal="left" vertical="top" wrapText="1"/>
    </xf>
    <xf numFmtId="0" fontId="17" fillId="0" borderId="25" xfId="5" applyFont="1" applyBorder="1" applyAlignment="1">
      <alignment horizontal="left" vertical="top" wrapText="1" indent="1"/>
    </xf>
    <xf numFmtId="0" fontId="17" fillId="0" borderId="24" xfId="5" applyFont="1" applyFill="1" applyBorder="1" applyAlignment="1">
      <alignment horizontal="center" vertical="center" wrapText="1"/>
    </xf>
    <xf numFmtId="0" fontId="17" fillId="0" borderId="25" xfId="5" applyFont="1" applyFill="1" applyBorder="1" applyAlignment="1">
      <alignment horizontal="left" vertical="top" wrapText="1" indent="1"/>
    </xf>
    <xf numFmtId="2" fontId="11" fillId="0" borderId="24" xfId="1" applyNumberFormat="1" applyFont="1" applyFill="1" applyBorder="1" applyAlignment="1">
      <alignment horizontal="center" vertical="center" wrapText="1"/>
    </xf>
    <xf numFmtId="3" fontId="7" fillId="0" borderId="25" xfId="5" applyNumberFormat="1" applyFont="1" applyFill="1" applyBorder="1" applyAlignment="1">
      <alignment horizontal="right" vertical="top" wrapText="1"/>
    </xf>
    <xf numFmtId="166" fontId="7" fillId="0" borderId="30" xfId="4" applyNumberFormat="1" applyFont="1" applyFill="1" applyBorder="1" applyAlignment="1">
      <alignment horizontal="right" vertical="center" wrapText="1"/>
    </xf>
    <xf numFmtId="166" fontId="7" fillId="0" borderId="0" xfId="4" applyNumberFormat="1" applyFont="1" applyFill="1" applyBorder="1" applyAlignment="1">
      <alignment horizontal="right" vertical="center" wrapText="1"/>
    </xf>
    <xf numFmtId="165" fontId="13" fillId="0" borderId="0" xfId="5" applyNumberFormat="1" applyFont="1" applyFill="1" applyBorder="1" applyAlignment="1">
      <alignment horizontal="right" vertical="top"/>
    </xf>
    <xf numFmtId="0" fontId="13" fillId="0" borderId="0" xfId="1" applyFont="1" applyFill="1" applyAlignment="1">
      <alignment vertical="center"/>
    </xf>
    <xf numFmtId="165" fontId="13" fillId="2" borderId="0" xfId="1" applyNumberFormat="1" applyFont="1" applyFill="1" applyAlignment="1">
      <alignment vertical="center"/>
    </xf>
    <xf numFmtId="0" fontId="9" fillId="5" borderId="17" xfId="2" applyNumberFormat="1" applyFont="1" applyFill="1" applyBorder="1" applyAlignment="1">
      <alignment horizontal="left" vertical="center" wrapText="1"/>
    </xf>
    <xf numFmtId="9" fontId="9" fillId="5" borderId="16" xfId="2" applyNumberFormat="1" applyFont="1" applyFill="1" applyBorder="1" applyAlignment="1">
      <alignment horizontal="center" vertical="center" wrapText="1"/>
    </xf>
    <xf numFmtId="165" fontId="9" fillId="5" borderId="11" xfId="3" applyNumberFormat="1" applyFont="1" applyFill="1" applyBorder="1" applyAlignment="1">
      <alignment horizontal="right" vertical="center"/>
    </xf>
    <xf numFmtId="164" fontId="9" fillId="0" borderId="0" xfId="4" applyFont="1" applyFill="1" applyAlignment="1">
      <alignment vertical="center"/>
    </xf>
    <xf numFmtId="0" fontId="11" fillId="2" borderId="34" xfId="10" applyNumberFormat="1" applyFont="1" applyFill="1" applyBorder="1" applyAlignment="1">
      <alignment horizontal="justify" vertical="center"/>
    </xf>
    <xf numFmtId="165" fontId="11" fillId="2" borderId="34" xfId="12" applyFont="1" applyFill="1" applyBorder="1" applyAlignment="1">
      <alignment horizontal="center" vertical="center" wrapText="1"/>
    </xf>
    <xf numFmtId="165" fontId="11" fillId="0" borderId="32" xfId="12" applyNumberFormat="1" applyFont="1" applyFill="1" applyBorder="1" applyAlignment="1">
      <alignment horizontal="right" vertical="center" wrapText="1"/>
    </xf>
    <xf numFmtId="165" fontId="11" fillId="0" borderId="0" xfId="12" applyNumberFormat="1" applyFont="1" applyFill="1" applyBorder="1" applyAlignment="1">
      <alignment horizontal="right" vertical="center" wrapText="1"/>
    </xf>
    <xf numFmtId="0" fontId="11" fillId="2" borderId="24" xfId="10" applyNumberFormat="1" applyFont="1" applyFill="1" applyBorder="1" applyAlignment="1">
      <alignment horizontal="justify" vertical="center"/>
    </xf>
    <xf numFmtId="165" fontId="11" fillId="2" borderId="24" xfId="12" applyFont="1" applyFill="1" applyBorder="1" applyAlignment="1">
      <alignment horizontal="center" vertical="center" wrapText="1"/>
    </xf>
    <xf numFmtId="165" fontId="11" fillId="0" borderId="30" xfId="12" applyNumberFormat="1" applyFont="1" applyFill="1" applyBorder="1" applyAlignment="1">
      <alignment horizontal="right" vertical="center" wrapText="1"/>
    </xf>
    <xf numFmtId="164" fontId="11" fillId="2" borderId="0" xfId="1" applyNumberFormat="1" applyFont="1" applyFill="1" applyAlignment="1">
      <alignment vertical="center"/>
    </xf>
    <xf numFmtId="0" fontId="17" fillId="2" borderId="0" xfId="1" applyFont="1" applyFill="1" applyAlignment="1">
      <alignment horizontal="center" vertical="center"/>
    </xf>
    <xf numFmtId="0" fontId="17" fillId="0" borderId="41" xfId="1" quotePrefix="1" applyFont="1" applyFill="1" applyBorder="1" applyAlignment="1">
      <alignment horizontal="center" vertical="center"/>
    </xf>
    <xf numFmtId="0" fontId="17" fillId="0" borderId="28" xfId="1" quotePrefix="1" applyFont="1" applyFill="1" applyBorder="1" applyAlignment="1">
      <alignment horizontal="center" vertical="center" wrapText="1"/>
    </xf>
    <xf numFmtId="0" fontId="17" fillId="2" borderId="28" xfId="1" quotePrefix="1" applyFont="1" applyFill="1" applyBorder="1" applyAlignment="1">
      <alignment horizontal="center" vertical="center" wrapText="1"/>
    </xf>
    <xf numFmtId="0" fontId="17" fillId="2" borderId="39" xfId="5" applyFont="1" applyFill="1" applyBorder="1" applyAlignment="1">
      <alignment horizontal="left" vertical="center" wrapText="1"/>
    </xf>
    <xf numFmtId="0" fontId="17" fillId="2" borderId="22" xfId="5" applyFont="1" applyFill="1" applyBorder="1" applyAlignment="1">
      <alignment horizontal="left" vertical="center" wrapText="1"/>
    </xf>
    <xf numFmtId="0" fontId="17" fillId="2" borderId="28" xfId="5" applyFont="1" applyFill="1" applyBorder="1" applyAlignment="1">
      <alignment horizontal="left" vertical="top" wrapText="1"/>
    </xf>
    <xf numFmtId="9" fontId="17" fillId="2" borderId="28" xfId="5" applyNumberFormat="1" applyFont="1" applyFill="1" applyBorder="1" applyAlignment="1">
      <alignment horizontal="center" vertical="center"/>
    </xf>
    <xf numFmtId="165" fontId="17" fillId="0" borderId="0" xfId="5" applyNumberFormat="1" applyFont="1" applyFill="1" applyBorder="1" applyAlignment="1">
      <alignment horizontal="right" vertical="top"/>
    </xf>
    <xf numFmtId="0" fontId="17" fillId="2" borderId="0" xfId="1" applyFont="1" applyFill="1" applyAlignment="1">
      <alignment vertical="center"/>
    </xf>
    <xf numFmtId="0" fontId="17" fillId="0" borderId="23" xfId="1" quotePrefix="1" applyFont="1" applyFill="1" applyBorder="1" applyAlignment="1">
      <alignment horizontal="center" vertical="center"/>
    </xf>
    <xf numFmtId="0" fontId="17" fillId="2" borderId="24" xfId="1" quotePrefix="1" applyFont="1" applyFill="1" applyBorder="1" applyAlignment="1">
      <alignment horizontal="center" vertical="center" wrapText="1"/>
    </xf>
    <xf numFmtId="0" fontId="17" fillId="2" borderId="25" xfId="9" quotePrefix="1" applyFont="1" applyFill="1" applyBorder="1" applyAlignment="1">
      <alignment horizontal="right" vertical="top"/>
    </xf>
    <xf numFmtId="0" fontId="17" fillId="2" borderId="27" xfId="9" applyFont="1" applyFill="1" applyBorder="1" applyAlignment="1">
      <alignment horizontal="justify" vertical="center"/>
    </xf>
    <xf numFmtId="0" fontId="17" fillId="2" borderId="24" xfId="10" applyNumberFormat="1" applyFont="1" applyFill="1" applyBorder="1" applyAlignment="1">
      <alignment horizontal="justify" vertical="center"/>
    </xf>
    <xf numFmtId="165" fontId="17" fillId="2" borderId="24" xfId="12" applyFont="1" applyFill="1" applyBorder="1" applyAlignment="1">
      <alignment horizontal="center" vertical="center" wrapText="1"/>
    </xf>
    <xf numFmtId="165" fontId="17" fillId="0" borderId="30" xfId="12" applyNumberFormat="1" applyFont="1" applyFill="1" applyBorder="1" applyAlignment="1">
      <alignment horizontal="right" vertical="center" wrapText="1"/>
    </xf>
    <xf numFmtId="165" fontId="17" fillId="0" borderId="0" xfId="12" applyNumberFormat="1" applyFont="1" applyFill="1" applyBorder="1" applyAlignment="1">
      <alignment horizontal="right" vertical="center" wrapText="1"/>
    </xf>
    <xf numFmtId="164" fontId="17" fillId="2" borderId="0" xfId="4" applyFont="1" applyFill="1" applyAlignment="1">
      <alignment vertical="center"/>
    </xf>
    <xf numFmtId="0" fontId="7" fillId="0" borderId="0" xfId="1" applyFont="1" applyFill="1" applyAlignment="1">
      <alignment horizontal="center" vertical="center"/>
    </xf>
    <xf numFmtId="0" fontId="7" fillId="0" borderId="35" xfId="1" quotePrefix="1" applyFont="1" applyFill="1" applyBorder="1" applyAlignment="1">
      <alignment horizontal="center" vertical="center"/>
    </xf>
    <xf numFmtId="0" fontId="7" fillId="2" borderId="25" xfId="9" quotePrefix="1" applyFont="1" applyFill="1" applyBorder="1" applyAlignment="1">
      <alignment horizontal="right" vertical="top"/>
    </xf>
    <xf numFmtId="0" fontId="7" fillId="0" borderId="27" xfId="5" applyFont="1" applyBorder="1" applyAlignment="1">
      <alignment vertical="center" wrapText="1"/>
    </xf>
    <xf numFmtId="9" fontId="7" fillId="0" borderId="24" xfId="5" applyNumberFormat="1" applyFont="1" applyBorder="1" applyAlignment="1">
      <alignment horizontal="center" vertical="center"/>
    </xf>
    <xf numFmtId="0" fontId="17" fillId="0" borderId="0" xfId="1" applyFont="1" applyFill="1" applyAlignment="1">
      <alignment horizontal="center" vertical="center"/>
    </xf>
    <xf numFmtId="0" fontId="17" fillId="0" borderId="35" xfId="1" quotePrefix="1" applyFont="1" applyFill="1" applyBorder="1" applyAlignment="1">
      <alignment horizontal="center" vertical="center"/>
    </xf>
    <xf numFmtId="0" fontId="17" fillId="2" borderId="25" xfId="1" quotePrefix="1" applyFont="1" applyFill="1" applyBorder="1" applyAlignment="1">
      <alignment horizontal="center" vertical="center" wrapText="1"/>
    </xf>
    <xf numFmtId="0" fontId="17" fillId="0" borderId="27" xfId="5" applyFont="1" applyBorder="1" applyAlignment="1">
      <alignment vertical="center" wrapText="1"/>
    </xf>
    <xf numFmtId="9" fontId="17" fillId="0" borderId="24" xfId="5" applyNumberFormat="1" applyFont="1" applyBorder="1" applyAlignment="1">
      <alignment horizontal="center" vertical="center"/>
    </xf>
    <xf numFmtId="0" fontId="11" fillId="2" borderId="28" xfId="11" applyNumberFormat="1" applyFont="1" applyFill="1" applyBorder="1" applyAlignment="1">
      <alignment horizontal="justify" vertical="center"/>
    </xf>
    <xf numFmtId="165" fontId="11" fillId="2" borderId="28" xfId="12" applyFont="1" applyFill="1" applyBorder="1" applyAlignment="1">
      <alignment horizontal="center" vertical="center" wrapText="1"/>
    </xf>
    <xf numFmtId="165" fontId="11" fillId="0" borderId="42" xfId="12" applyNumberFormat="1" applyFont="1" applyFill="1" applyBorder="1" applyAlignment="1">
      <alignment horizontal="right" vertical="center" wrapText="1"/>
    </xf>
    <xf numFmtId="0" fontId="13" fillId="2" borderId="41" xfId="1" applyFont="1" applyFill="1" applyBorder="1" applyAlignment="1">
      <alignment horizontal="center" vertical="center"/>
    </xf>
    <xf numFmtId="0" fontId="13" fillId="2" borderId="28" xfId="1" quotePrefix="1" applyFont="1" applyFill="1" applyBorder="1" applyAlignment="1">
      <alignment horizontal="center" vertical="center" wrapText="1"/>
    </xf>
    <xf numFmtId="0" fontId="13" fillId="2" borderId="43" xfId="1" quotePrefix="1" applyFont="1" applyFill="1" applyBorder="1" applyAlignment="1">
      <alignment horizontal="center" vertical="center" wrapText="1"/>
    </xf>
    <xf numFmtId="0" fontId="13" fillId="2" borderId="45" xfId="1" quotePrefix="1" applyFont="1" applyFill="1" applyBorder="1" applyAlignment="1">
      <alignment horizontal="center" vertical="center" wrapText="1"/>
    </xf>
    <xf numFmtId="0" fontId="13" fillId="2" borderId="28" xfId="2" applyNumberFormat="1" applyFont="1" applyFill="1" applyBorder="1" applyAlignment="1">
      <alignment horizontal="left" vertical="center" wrapText="1"/>
    </xf>
    <xf numFmtId="0" fontId="13" fillId="2" borderId="28" xfId="2" applyNumberFormat="1" applyFont="1" applyFill="1" applyBorder="1" applyAlignment="1">
      <alignment horizontal="center" vertical="center" wrapText="1"/>
    </xf>
    <xf numFmtId="165" fontId="13" fillId="2" borderId="42" xfId="3" applyNumberFormat="1" applyFont="1" applyFill="1" applyBorder="1" applyAlignment="1">
      <alignment horizontal="right" vertical="center" wrapText="1"/>
    </xf>
    <xf numFmtId="0" fontId="9" fillId="5" borderId="17" xfId="1" applyFont="1" applyFill="1" applyBorder="1" applyAlignment="1">
      <alignment horizontal="center" vertical="center" wrapText="1"/>
    </xf>
    <xf numFmtId="165" fontId="9" fillId="5" borderId="11" xfId="3" applyNumberFormat="1" applyFont="1" applyFill="1" applyBorder="1" applyAlignment="1">
      <alignment horizontal="right" vertical="center" wrapText="1"/>
    </xf>
    <xf numFmtId="0" fontId="11" fillId="2" borderId="24" xfId="1" applyFont="1" applyFill="1" applyBorder="1" applyAlignment="1">
      <alignment horizontal="left" vertical="center" wrapText="1"/>
    </xf>
    <xf numFmtId="9" fontId="11" fillId="2" borderId="24" xfId="13" applyNumberFormat="1" applyFont="1" applyFill="1" applyBorder="1" applyAlignment="1">
      <alignment horizontal="center" vertical="center"/>
    </xf>
    <xf numFmtId="165" fontId="11" fillId="2" borderId="30" xfId="3" applyNumberFormat="1" applyFont="1" applyFill="1" applyBorder="1" applyAlignment="1">
      <alignment horizontal="right" vertical="center"/>
    </xf>
    <xf numFmtId="0" fontId="18" fillId="2" borderId="33" xfId="1" applyFont="1" applyFill="1" applyBorder="1" applyAlignment="1">
      <alignment vertical="center" wrapText="1"/>
    </xf>
    <xf numFmtId="0" fontId="18" fillId="2" borderId="28" xfId="2" applyNumberFormat="1" applyFont="1" applyFill="1" applyBorder="1" applyAlignment="1">
      <alignment horizontal="left" vertical="center" wrapText="1"/>
    </xf>
    <xf numFmtId="9" fontId="13" fillId="2" borderId="29" xfId="2" applyNumberFormat="1" applyFont="1" applyFill="1" applyBorder="1" applyAlignment="1">
      <alignment horizontal="center" vertical="center" wrapText="1"/>
    </xf>
    <xf numFmtId="165" fontId="13" fillId="2" borderId="42" xfId="3" applyNumberFormat="1" applyFont="1" applyFill="1" applyBorder="1" applyAlignment="1">
      <alignment horizontal="right" vertical="center"/>
    </xf>
    <xf numFmtId="165" fontId="13" fillId="0" borderId="0" xfId="3" applyNumberFormat="1" applyFont="1" applyFill="1" applyBorder="1" applyAlignment="1">
      <alignment horizontal="right" vertical="center"/>
    </xf>
    <xf numFmtId="165" fontId="9" fillId="5" borderId="11" xfId="1" applyNumberFormat="1" applyFont="1" applyFill="1" applyBorder="1" applyAlignment="1">
      <alignment horizontal="right" vertical="center" wrapText="1"/>
    </xf>
    <xf numFmtId="0" fontId="11" fillId="2" borderId="34" xfId="2" applyNumberFormat="1" applyFont="1" applyFill="1" applyBorder="1" applyAlignment="1">
      <alignment horizontal="left" vertical="center" wrapText="1"/>
    </xf>
    <xf numFmtId="9" fontId="11" fillId="2" borderId="24" xfId="1" applyNumberFormat="1" applyFont="1" applyFill="1" applyBorder="1" applyAlignment="1">
      <alignment horizontal="center" vertical="center" wrapText="1"/>
    </xf>
    <xf numFmtId="165" fontId="11" fillId="0" borderId="32" xfId="1" applyNumberFormat="1" applyFont="1" applyFill="1" applyBorder="1" applyAlignment="1">
      <alignment horizontal="right" vertical="center" wrapText="1"/>
    </xf>
    <xf numFmtId="165" fontId="11" fillId="0" borderId="0" xfId="1" applyNumberFormat="1" applyFont="1" applyFill="1" applyBorder="1" applyAlignment="1">
      <alignment horizontal="right" vertical="center" wrapText="1"/>
    </xf>
    <xf numFmtId="0" fontId="11" fillId="2" borderId="24" xfId="2" applyNumberFormat="1" applyFont="1" applyFill="1" applyBorder="1" applyAlignment="1">
      <alignment horizontal="left" vertical="center" wrapText="1"/>
    </xf>
    <xf numFmtId="0" fontId="11" fillId="2" borderId="24" xfId="1" applyFont="1" applyFill="1" applyBorder="1" applyAlignment="1">
      <alignment horizontal="center" vertical="center" wrapText="1"/>
    </xf>
    <xf numFmtId="165" fontId="11" fillId="0" borderId="30" xfId="1" applyNumberFormat="1" applyFont="1" applyFill="1" applyBorder="1" applyAlignment="1">
      <alignment horizontal="right" vertical="center" wrapText="1"/>
    </xf>
    <xf numFmtId="0" fontId="7" fillId="2" borderId="23" xfId="1" applyFont="1" applyFill="1" applyBorder="1" applyAlignment="1">
      <alignment horizontal="center" vertical="center"/>
    </xf>
    <xf numFmtId="0" fontId="7" fillId="2" borderId="25" xfId="1" quotePrefix="1" applyFont="1" applyFill="1" applyBorder="1" applyAlignment="1">
      <alignment horizontal="right" vertical="top" wrapText="1"/>
    </xf>
    <xf numFmtId="0" fontId="7" fillId="2" borderId="27" xfId="2" applyNumberFormat="1" applyFont="1" applyFill="1" applyBorder="1" applyAlignment="1">
      <alignment horizontal="left" vertical="center" wrapText="1"/>
    </xf>
    <xf numFmtId="0" fontId="7" fillId="2" borderId="24" xfId="2" applyNumberFormat="1" applyFont="1" applyFill="1" applyBorder="1" applyAlignment="1">
      <alignment horizontal="left" vertical="center" wrapText="1"/>
    </xf>
    <xf numFmtId="165" fontId="7" fillId="0" borderId="30" xfId="1" applyNumberFormat="1" applyFont="1" applyFill="1" applyBorder="1" applyAlignment="1">
      <alignment horizontal="right" vertical="center" wrapText="1"/>
    </xf>
    <xf numFmtId="165" fontId="7" fillId="0" borderId="0" xfId="1" applyNumberFormat="1" applyFont="1" applyFill="1" applyBorder="1" applyAlignment="1">
      <alignment horizontal="right" vertical="center" wrapText="1"/>
    </xf>
    <xf numFmtId="0" fontId="7" fillId="2" borderId="0" xfId="1" applyFont="1" applyFill="1" applyAlignment="1">
      <alignment vertical="center"/>
    </xf>
    <xf numFmtId="165" fontId="7" fillId="2" borderId="0" xfId="1" applyNumberFormat="1" applyFont="1" applyFill="1" applyAlignment="1">
      <alignment vertical="center"/>
    </xf>
    <xf numFmtId="165" fontId="18" fillId="0" borderId="0" xfId="1" applyNumberFormat="1" applyFont="1" applyFill="1" applyBorder="1" applyAlignment="1">
      <alignment horizontal="right" vertical="center" wrapText="1"/>
    </xf>
    <xf numFmtId="165" fontId="13" fillId="0" borderId="0" xfId="1" applyNumberFormat="1" applyFont="1" applyFill="1" applyAlignment="1">
      <alignment vertical="center"/>
    </xf>
    <xf numFmtId="0" fontId="13" fillId="2" borderId="29" xfId="1" quotePrefix="1" applyFont="1" applyFill="1" applyBorder="1" applyAlignment="1">
      <alignment horizontal="center" vertical="center" wrapText="1"/>
    </xf>
    <xf numFmtId="0" fontId="18" fillId="2" borderId="28" xfId="1" applyFont="1" applyFill="1" applyBorder="1" applyAlignment="1">
      <alignment horizontal="center" vertical="center" wrapText="1"/>
    </xf>
    <xf numFmtId="165" fontId="18" fillId="2" borderId="42" xfId="1" applyNumberFormat="1" applyFont="1" applyFill="1" applyBorder="1" applyAlignment="1">
      <alignment horizontal="right" vertical="center" wrapText="1"/>
    </xf>
    <xf numFmtId="0" fontId="11" fillId="0" borderId="51" xfId="1" applyFont="1" applyFill="1" applyBorder="1" applyAlignment="1">
      <alignment horizontal="center" vertical="center"/>
    </xf>
    <xf numFmtId="0" fontId="11" fillId="0" borderId="52" xfId="1" quotePrefix="1" applyFont="1" applyFill="1" applyBorder="1" applyAlignment="1">
      <alignment vertical="center" wrapText="1"/>
    </xf>
    <xf numFmtId="0" fontId="11" fillId="0" borderId="52" xfId="1" quotePrefix="1" applyFont="1" applyFill="1" applyBorder="1" applyAlignment="1">
      <alignment horizontal="left" vertical="center" wrapText="1"/>
    </xf>
    <xf numFmtId="0" fontId="11" fillId="0" borderId="52" xfId="2" applyNumberFormat="1" applyFont="1" applyFill="1" applyBorder="1" applyAlignment="1">
      <alignment horizontal="left" vertical="center" wrapText="1"/>
    </xf>
    <xf numFmtId="0" fontId="11" fillId="0" borderId="38" xfId="1" applyFont="1" applyFill="1" applyBorder="1" applyAlignment="1">
      <alignment horizontal="center" vertical="center" wrapText="1"/>
    </xf>
    <xf numFmtId="165" fontId="11" fillId="0" borderId="53" xfId="3" applyNumberFormat="1" applyFont="1" applyFill="1" applyBorder="1" applyAlignment="1">
      <alignment horizontal="right" vertical="center" wrapText="1"/>
    </xf>
    <xf numFmtId="165" fontId="11" fillId="0" borderId="0" xfId="3" applyNumberFormat="1" applyFont="1" applyFill="1" applyBorder="1" applyAlignment="1">
      <alignment horizontal="right" vertical="center" wrapText="1"/>
    </xf>
    <xf numFmtId="0" fontId="7" fillId="0" borderId="35" xfId="1" applyFont="1" applyFill="1" applyBorder="1" applyAlignment="1">
      <alignment horizontal="center" vertical="center"/>
    </xf>
    <xf numFmtId="0" fontId="7" fillId="0" borderId="34" xfId="1" quotePrefix="1" applyFont="1" applyFill="1" applyBorder="1" applyAlignment="1">
      <alignment vertical="center" wrapText="1"/>
    </xf>
    <xf numFmtId="0" fontId="7" fillId="0" borderId="34" xfId="1" applyFont="1" applyFill="1" applyBorder="1" applyAlignment="1">
      <alignment horizontal="left" vertical="center" wrapText="1"/>
    </xf>
    <xf numFmtId="0" fontId="7" fillId="6" borderId="27" xfId="5" applyFont="1" applyFill="1" applyBorder="1" applyAlignment="1">
      <alignment wrapText="1"/>
    </xf>
    <xf numFmtId="168" fontId="7" fillId="2" borderId="22" xfId="8" applyNumberFormat="1" applyFont="1" applyFill="1" applyBorder="1" applyAlignment="1">
      <alignment horizontal="center" vertical="center"/>
    </xf>
    <xf numFmtId="165" fontId="7" fillId="0" borderId="32" xfId="5" applyNumberFormat="1" applyFont="1" applyFill="1" applyBorder="1" applyAlignment="1">
      <alignment horizontal="right" vertical="center" wrapText="1"/>
    </xf>
    <xf numFmtId="0" fontId="7" fillId="6" borderId="24" xfId="5" applyFont="1" applyFill="1" applyBorder="1" applyAlignment="1">
      <alignment wrapText="1"/>
    </xf>
    <xf numFmtId="9" fontId="7" fillId="2" borderId="27" xfId="8" applyFont="1" applyFill="1" applyBorder="1" applyAlignment="1">
      <alignment horizontal="center" vertical="center"/>
    </xf>
    <xf numFmtId="0" fontId="7" fillId="6" borderId="28" xfId="5" applyFont="1" applyFill="1" applyBorder="1" applyAlignment="1">
      <alignment wrapText="1"/>
    </xf>
    <xf numFmtId="0" fontId="11" fillId="0" borderId="34" xfId="1" quotePrefix="1" applyFont="1" applyFill="1" applyBorder="1" applyAlignment="1">
      <alignment horizontal="left" vertical="center" wrapText="1"/>
    </xf>
    <xf numFmtId="0" fontId="11" fillId="0" borderId="22" xfId="1" applyFont="1" applyFill="1" applyBorder="1" applyAlignment="1">
      <alignment horizontal="center" vertical="center" wrapText="1"/>
    </xf>
    <xf numFmtId="165" fontId="11" fillId="0" borderId="32" xfId="3" applyNumberFormat="1" applyFont="1" applyFill="1" applyBorder="1" applyAlignment="1">
      <alignment horizontal="right" vertical="center" wrapText="1"/>
    </xf>
    <xf numFmtId="0" fontId="7" fillId="6" borderId="27" xfId="5" applyFont="1" applyFill="1" applyBorder="1" applyAlignment="1">
      <alignment vertical="center" wrapText="1"/>
    </xf>
    <xf numFmtId="0" fontId="11" fillId="0" borderId="34" xfId="1" applyFont="1" applyFill="1" applyBorder="1" applyAlignment="1">
      <alignment horizontal="left" vertical="center" wrapText="1"/>
    </xf>
    <xf numFmtId="0" fontId="13" fillId="0" borderId="35" xfId="1" applyFont="1" applyFill="1" applyBorder="1" applyAlignment="1">
      <alignment horizontal="center" vertical="center"/>
    </xf>
    <xf numFmtId="0" fontId="13" fillId="0" borderId="34" xfId="1" quotePrefix="1" applyFont="1" applyFill="1" applyBorder="1" applyAlignment="1">
      <alignment vertical="center" wrapText="1"/>
    </xf>
    <xf numFmtId="0" fontId="13" fillId="0" borderId="34" xfId="1" applyFont="1" applyFill="1" applyBorder="1" applyAlignment="1">
      <alignment horizontal="left" vertical="center" wrapText="1"/>
    </xf>
    <xf numFmtId="0" fontId="7" fillId="6" borderId="26" xfId="5" applyFont="1" applyFill="1" applyBorder="1" applyAlignment="1">
      <alignment wrapText="1"/>
    </xf>
    <xf numFmtId="0" fontId="13" fillId="2" borderId="24" xfId="1" quotePrefix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0" fontId="7" fillId="2" borderId="41" xfId="1" applyFont="1" applyFill="1" applyBorder="1" applyAlignment="1">
      <alignment horizontal="center" vertical="center" wrapText="1"/>
    </xf>
    <xf numFmtId="0" fontId="7" fillId="2" borderId="28" xfId="1" quotePrefix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vertical="center" wrapText="1"/>
    </xf>
    <xf numFmtId="0" fontId="7" fillId="2" borderId="0" xfId="1" applyFont="1" applyFill="1" applyAlignment="1">
      <alignment vertical="center" wrapText="1"/>
    </xf>
    <xf numFmtId="165" fontId="7" fillId="0" borderId="0" xfId="1" applyNumberFormat="1" applyFont="1" applyFill="1" applyAlignment="1">
      <alignment vertical="center" wrapText="1"/>
    </xf>
    <xf numFmtId="0" fontId="14" fillId="2" borderId="0" xfId="1" applyFont="1" applyFill="1" applyAlignment="1">
      <alignment vertical="center" wrapText="1"/>
    </xf>
    <xf numFmtId="165" fontId="14" fillId="0" borderId="0" xfId="1" applyNumberFormat="1" applyFont="1" applyFill="1" applyAlignment="1">
      <alignment vertical="center" wrapText="1"/>
    </xf>
    <xf numFmtId="0" fontId="11" fillId="2" borderId="41" xfId="1" applyFont="1" applyFill="1" applyBorder="1" applyAlignment="1">
      <alignment horizontal="center" vertical="center" wrapText="1"/>
    </xf>
    <xf numFmtId="0" fontId="11" fillId="2" borderId="25" xfId="1" applyFont="1" applyFill="1" applyBorder="1" applyAlignment="1">
      <alignment vertical="center" wrapText="1"/>
    </xf>
    <xf numFmtId="0" fontId="11" fillId="2" borderId="0" xfId="1" applyFont="1" applyFill="1" applyAlignment="1">
      <alignment vertical="center" wrapText="1"/>
    </xf>
    <xf numFmtId="165" fontId="11" fillId="0" borderId="0" xfId="1" applyNumberFormat="1" applyFont="1" applyFill="1" applyAlignment="1">
      <alignment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11" fillId="6" borderId="24" xfId="5" applyFont="1" applyFill="1" applyBorder="1" applyAlignment="1">
      <alignment vertical="center" wrapText="1"/>
    </xf>
    <xf numFmtId="9" fontId="11" fillId="0" borderId="24" xfId="12" applyNumberFormat="1" applyFont="1" applyFill="1" applyBorder="1" applyAlignment="1">
      <alignment horizontal="center" vertical="center" wrapText="1"/>
    </xf>
    <xf numFmtId="0" fontId="11" fillId="2" borderId="28" xfId="14" applyFont="1" applyFill="1" applyBorder="1" applyAlignment="1">
      <alignment horizontal="left" vertical="center" wrapText="1"/>
    </xf>
    <xf numFmtId="0" fontId="13" fillId="2" borderId="48" xfId="11" applyNumberFormat="1" applyFont="1" applyFill="1" applyBorder="1" applyAlignment="1">
      <alignment horizontal="justify" vertical="center" wrapText="1"/>
    </xf>
    <xf numFmtId="165" fontId="13" fillId="2" borderId="43" xfId="12" applyFont="1" applyFill="1" applyBorder="1" applyAlignment="1">
      <alignment horizontal="center" vertical="center" wrapText="1"/>
    </xf>
    <xf numFmtId="165" fontId="13" fillId="2" borderId="49" xfId="12" applyNumberFormat="1" applyFont="1" applyFill="1" applyBorder="1" applyAlignment="1">
      <alignment horizontal="right" vertical="center" wrapText="1"/>
    </xf>
    <xf numFmtId="165" fontId="13" fillId="0" borderId="0" xfId="12" applyNumberFormat="1" applyFont="1" applyFill="1" applyBorder="1" applyAlignment="1">
      <alignment horizontal="right" vertical="center" wrapText="1"/>
    </xf>
    <xf numFmtId="0" fontId="9" fillId="5" borderId="17" xfId="9" applyFont="1" applyFill="1" applyBorder="1" applyAlignment="1">
      <alignment horizontal="left" vertical="center" wrapText="1"/>
    </xf>
    <xf numFmtId="0" fontId="9" fillId="5" borderId="17" xfId="9" applyFont="1" applyFill="1" applyBorder="1" applyAlignment="1">
      <alignment horizontal="center" vertical="center" wrapText="1"/>
    </xf>
    <xf numFmtId="164" fontId="14" fillId="2" borderId="0" xfId="4" applyFont="1" applyFill="1" applyAlignment="1">
      <alignment vertical="center"/>
    </xf>
    <xf numFmtId="0" fontId="14" fillId="2" borderId="0" xfId="1" applyFont="1" applyFill="1" applyAlignment="1">
      <alignment vertical="center"/>
    </xf>
    <xf numFmtId="0" fontId="13" fillId="0" borderId="41" xfId="1" quotePrefix="1" applyFont="1" applyFill="1" applyBorder="1" applyAlignment="1">
      <alignment horizontal="center" vertical="center"/>
    </xf>
    <xf numFmtId="0" fontId="13" fillId="0" borderId="28" xfId="1" quotePrefix="1" applyFont="1" applyFill="1" applyBorder="1" applyAlignment="1">
      <alignment vertical="center" wrapText="1"/>
    </xf>
    <xf numFmtId="0" fontId="13" fillId="2" borderId="29" xfId="14" applyFont="1" applyFill="1" applyBorder="1" applyAlignment="1">
      <alignment vertical="center" wrapText="1"/>
    </xf>
    <xf numFmtId="0" fontId="13" fillId="2" borderId="33" xfId="14" applyFont="1" applyFill="1" applyBorder="1" applyAlignment="1">
      <alignment vertical="center" wrapText="1"/>
    </xf>
    <xf numFmtId="0" fontId="13" fillId="2" borderId="28" xfId="14" applyFont="1" applyFill="1" applyBorder="1" applyAlignment="1">
      <alignment horizontal="left" vertical="center" wrapText="1"/>
    </xf>
    <xf numFmtId="0" fontId="13" fillId="2" borderId="28" xfId="14" applyFont="1" applyFill="1" applyBorder="1" applyAlignment="1">
      <alignment horizontal="center" vertical="center"/>
    </xf>
    <xf numFmtId="0" fontId="11" fillId="2" borderId="28" xfId="5" applyFont="1" applyFill="1" applyBorder="1" applyAlignment="1">
      <alignment horizontal="left" vertical="top" wrapText="1"/>
    </xf>
    <xf numFmtId="9" fontId="11" fillId="2" borderId="28" xfId="5" applyNumberFormat="1" applyFont="1" applyFill="1" applyBorder="1" applyAlignment="1">
      <alignment horizontal="center" vertical="center"/>
    </xf>
    <xf numFmtId="165" fontId="11" fillId="0" borderId="42" xfId="5" applyNumberFormat="1" applyFont="1" applyFill="1" applyBorder="1" applyAlignment="1">
      <alignment horizontal="right" vertical="top"/>
    </xf>
    <xf numFmtId="165" fontId="11" fillId="0" borderId="30" xfId="5" applyNumberFormat="1" applyFont="1" applyFill="1" applyBorder="1" applyAlignment="1">
      <alignment horizontal="right" vertical="center"/>
    </xf>
    <xf numFmtId="165" fontId="11" fillId="0" borderId="0" xfId="5" applyNumberFormat="1" applyFont="1" applyFill="1" applyBorder="1" applyAlignment="1">
      <alignment horizontal="right" vertical="center"/>
    </xf>
    <xf numFmtId="0" fontId="13" fillId="0" borderId="47" xfId="1" applyFont="1" applyFill="1" applyBorder="1" applyAlignment="1">
      <alignment horizontal="center" vertical="center"/>
    </xf>
    <xf numFmtId="0" fontId="13" fillId="0" borderId="48" xfId="1" quotePrefix="1" applyFont="1" applyFill="1" applyBorder="1" applyAlignment="1">
      <alignment horizontal="center" vertical="center" wrapText="1"/>
    </xf>
    <xf numFmtId="0" fontId="13" fillId="2" borderId="48" xfId="14" applyFont="1" applyFill="1" applyBorder="1" applyAlignment="1">
      <alignment horizontal="left" vertical="center" wrapText="1"/>
    </xf>
    <xf numFmtId="0" fontId="13" fillId="2" borderId="48" xfId="14" applyFont="1" applyFill="1" applyBorder="1" applyAlignment="1">
      <alignment horizontal="center" vertical="center"/>
    </xf>
    <xf numFmtId="165" fontId="13" fillId="0" borderId="49" xfId="3" applyNumberFormat="1" applyFont="1" applyFill="1" applyBorder="1" applyAlignment="1">
      <alignment horizontal="right" vertical="center" wrapText="1"/>
    </xf>
    <xf numFmtId="164" fontId="9" fillId="5" borderId="17" xfId="1" applyNumberFormat="1" applyFont="1" applyFill="1" applyBorder="1" applyAlignment="1">
      <alignment horizontal="center" vertical="center" wrapText="1"/>
    </xf>
    <xf numFmtId="0" fontId="11" fillId="0" borderId="34" xfId="2" applyNumberFormat="1" applyFont="1" applyFill="1" applyBorder="1" applyAlignment="1">
      <alignment horizontal="left" vertical="center" wrapText="1"/>
    </xf>
    <xf numFmtId="9" fontId="11" fillId="2" borderId="24" xfId="14" applyNumberFormat="1" applyFont="1" applyFill="1" applyBorder="1" applyAlignment="1">
      <alignment horizontal="center" vertical="center"/>
    </xf>
    <xf numFmtId="3" fontId="7" fillId="0" borderId="39" xfId="1" quotePrefix="1" applyNumberFormat="1" applyFont="1" applyFill="1" applyBorder="1" applyAlignment="1">
      <alignment horizontal="right" vertical="center" wrapText="1"/>
    </xf>
    <xf numFmtId="3" fontId="7" fillId="0" borderId="22" xfId="1" applyNumberFormat="1" applyFont="1" applyFill="1" applyBorder="1" applyAlignment="1">
      <alignment horizontal="left" vertical="center" wrapText="1"/>
    </xf>
    <xf numFmtId="0" fontId="7" fillId="0" borderId="34" xfId="2" applyNumberFormat="1" applyFont="1" applyFill="1" applyBorder="1" applyAlignment="1">
      <alignment horizontal="left" vertical="center" wrapText="1"/>
    </xf>
    <xf numFmtId="9" fontId="7" fillId="0" borderId="34" xfId="1" applyNumberFormat="1" applyFont="1" applyFill="1" applyBorder="1" applyAlignment="1">
      <alignment horizontal="center" vertical="center" wrapText="1"/>
    </xf>
    <xf numFmtId="165" fontId="7" fillId="0" borderId="32" xfId="3" applyNumberFormat="1" applyFont="1" applyFill="1" applyBorder="1" applyAlignment="1">
      <alignment horizontal="right" vertical="center" wrapText="1"/>
    </xf>
    <xf numFmtId="165" fontId="7" fillId="0" borderId="0" xfId="3" applyNumberFormat="1" applyFont="1" applyFill="1" applyBorder="1" applyAlignment="1">
      <alignment horizontal="right" vertical="center" wrapText="1"/>
    </xf>
    <xf numFmtId="0" fontId="7" fillId="0" borderId="34" xfId="1" quotePrefix="1" applyFont="1" applyFill="1" applyBorder="1" applyAlignment="1">
      <alignment horizontal="center" vertical="center" wrapText="1"/>
    </xf>
    <xf numFmtId="0" fontId="7" fillId="2" borderId="25" xfId="14" applyFont="1" applyFill="1" applyBorder="1" applyAlignment="1">
      <alignment horizontal="right" vertical="top" wrapText="1"/>
    </xf>
    <xf numFmtId="0" fontId="7" fillId="2" borderId="27" xfId="14" applyFont="1" applyFill="1" applyBorder="1" applyAlignment="1">
      <alignment horizontal="left" vertical="center" wrapText="1"/>
    </xf>
    <xf numFmtId="0" fontId="7" fillId="2" borderId="24" xfId="14" applyFont="1" applyFill="1" applyBorder="1" applyAlignment="1">
      <alignment horizontal="left" vertical="center" wrapText="1"/>
    </xf>
    <xf numFmtId="9" fontId="7" fillId="2" borderId="24" xfId="14" applyNumberFormat="1" applyFont="1" applyFill="1" applyBorder="1" applyAlignment="1">
      <alignment horizontal="center" vertical="center"/>
    </xf>
    <xf numFmtId="165" fontId="7" fillId="0" borderId="30" xfId="3" applyNumberFormat="1" applyFont="1" applyFill="1" applyBorder="1" applyAlignment="1">
      <alignment horizontal="right" vertical="center" wrapText="1"/>
    </xf>
    <xf numFmtId="0" fontId="11" fillId="2" borderId="24" xfId="14" applyFont="1" applyFill="1" applyBorder="1" applyAlignment="1">
      <alignment horizontal="left" vertical="center" wrapText="1"/>
    </xf>
    <xf numFmtId="165" fontId="11" fillId="0" borderId="30" xfId="3" applyNumberFormat="1" applyFont="1" applyFill="1" applyBorder="1" applyAlignment="1">
      <alignment horizontal="right" vertical="center" wrapText="1"/>
    </xf>
    <xf numFmtId="41" fontId="11" fillId="2" borderId="0" xfId="15" applyFont="1" applyFill="1" applyAlignment="1">
      <alignment vertical="center"/>
    </xf>
    <xf numFmtId="3" fontId="7" fillId="2" borderId="25" xfId="1" applyNumberFormat="1" applyFont="1" applyFill="1" applyBorder="1" applyAlignment="1">
      <alignment horizontal="right" vertical="center" wrapText="1"/>
    </xf>
    <xf numFmtId="3" fontId="7" fillId="2" borderId="27" xfId="1" applyNumberFormat="1" applyFont="1" applyFill="1" applyBorder="1" applyAlignment="1">
      <alignment horizontal="left" vertical="center" wrapText="1"/>
    </xf>
    <xf numFmtId="0" fontId="11" fillId="2" borderId="23" xfId="1" quotePrefix="1" applyFont="1" applyFill="1" applyBorder="1" applyAlignment="1">
      <alignment horizontal="center" vertical="center"/>
    </xf>
    <xf numFmtId="0" fontId="11" fillId="2" borderId="35" xfId="1" quotePrefix="1" applyFont="1" applyFill="1" applyBorder="1" applyAlignment="1">
      <alignment horizontal="center" vertical="center"/>
    </xf>
    <xf numFmtId="0" fontId="11" fillId="2" borderId="34" xfId="14" applyFont="1" applyFill="1" applyBorder="1" applyAlignment="1">
      <alignment horizontal="left" vertical="center" wrapText="1"/>
    </xf>
    <xf numFmtId="9" fontId="11" fillId="2" borderId="34" xfId="14" applyNumberFormat="1" applyFont="1" applyFill="1" applyBorder="1" applyAlignment="1">
      <alignment horizontal="center" vertical="center"/>
    </xf>
    <xf numFmtId="0" fontId="7" fillId="2" borderId="23" xfId="1" quotePrefix="1" applyFont="1" applyFill="1" applyBorder="1" applyAlignment="1">
      <alignment horizontal="center" vertical="center"/>
    </xf>
    <xf numFmtId="0" fontId="7" fillId="2" borderId="25" xfId="14" quotePrefix="1" applyFont="1" applyFill="1" applyBorder="1" applyAlignment="1">
      <alignment vertical="center" wrapText="1"/>
    </xf>
    <xf numFmtId="0" fontId="7" fillId="2" borderId="27" xfId="14" applyFont="1" applyFill="1" applyBorder="1" applyAlignment="1">
      <alignment vertical="center" wrapText="1"/>
    </xf>
    <xf numFmtId="9" fontId="11" fillId="2" borderId="28" xfId="14" applyNumberFormat="1" applyFont="1" applyFill="1" applyBorder="1" applyAlignment="1">
      <alignment horizontal="center" vertical="center"/>
    </xf>
    <xf numFmtId="165" fontId="11" fillId="0" borderId="42" xfId="3" applyNumberFormat="1" applyFont="1" applyFill="1" applyBorder="1" applyAlignment="1">
      <alignment horizontal="right" vertical="center" wrapText="1"/>
    </xf>
    <xf numFmtId="165" fontId="11" fillId="2" borderId="30" xfId="3" applyNumberFormat="1" applyFont="1" applyFill="1" applyBorder="1" applyAlignment="1">
      <alignment horizontal="right" vertical="center" wrapText="1"/>
    </xf>
    <xf numFmtId="0" fontId="11" fillId="2" borderId="29" xfId="14" applyFont="1" applyFill="1" applyBorder="1" applyAlignment="1">
      <alignment horizontal="left" vertical="center" wrapText="1"/>
    </xf>
    <xf numFmtId="0" fontId="11" fillId="2" borderId="33" xfId="14" applyFont="1" applyFill="1" applyBorder="1" applyAlignment="1">
      <alignment horizontal="left" vertical="center" wrapText="1"/>
    </xf>
    <xf numFmtId="165" fontId="11" fillId="2" borderId="42" xfId="3" applyNumberFormat="1" applyFont="1" applyFill="1" applyBorder="1" applyAlignment="1">
      <alignment horizontal="right" vertical="center" wrapText="1"/>
    </xf>
    <xf numFmtId="0" fontId="9" fillId="5" borderId="17" xfId="14" applyFont="1" applyFill="1" applyBorder="1" applyAlignment="1">
      <alignment horizontal="left" vertical="center" wrapText="1"/>
    </xf>
    <xf numFmtId="9" fontId="9" fillId="5" borderId="17" xfId="14" applyNumberFormat="1" applyFont="1" applyFill="1" applyBorder="1" applyAlignment="1">
      <alignment horizontal="center" vertical="center"/>
    </xf>
    <xf numFmtId="165" fontId="7" fillId="2" borderId="30" xfId="3" applyNumberFormat="1" applyFont="1" applyFill="1" applyBorder="1" applyAlignment="1">
      <alignment horizontal="right" vertical="center" wrapText="1"/>
    </xf>
    <xf numFmtId="0" fontId="13" fillId="2" borderId="23" xfId="1" quotePrefix="1" applyFont="1" applyFill="1" applyBorder="1" applyAlignment="1">
      <alignment horizontal="center" vertical="center"/>
    </xf>
    <xf numFmtId="0" fontId="13" fillId="2" borderId="29" xfId="14" applyFont="1" applyFill="1" applyBorder="1" applyAlignment="1">
      <alignment horizontal="left" vertical="center" wrapText="1"/>
    </xf>
    <xf numFmtId="0" fontId="13" fillId="2" borderId="33" xfId="14" applyFont="1" applyFill="1" applyBorder="1" applyAlignment="1">
      <alignment horizontal="left" vertical="center" wrapText="1"/>
    </xf>
    <xf numFmtId="9" fontId="13" fillId="2" borderId="28" xfId="14" applyNumberFormat="1" applyFont="1" applyFill="1" applyBorder="1" applyAlignment="1">
      <alignment horizontal="center" vertical="center"/>
    </xf>
    <xf numFmtId="9" fontId="11" fillId="2" borderId="34" xfId="13" applyNumberFormat="1" applyFont="1" applyFill="1" applyBorder="1" applyAlignment="1">
      <alignment horizontal="center" vertical="center"/>
    </xf>
    <xf numFmtId="0" fontId="13" fillId="2" borderId="54" xfId="1" applyFont="1" applyFill="1" applyBorder="1" applyAlignment="1">
      <alignment horizontal="center" vertical="center"/>
    </xf>
    <xf numFmtId="0" fontId="13" fillId="2" borderId="55" xfId="1" quotePrefix="1" applyFont="1" applyFill="1" applyBorder="1" applyAlignment="1">
      <alignment horizontal="center" vertical="center" wrapText="1"/>
    </xf>
    <xf numFmtId="0" fontId="13" fillId="2" borderId="56" xfId="1" quotePrefix="1" applyFont="1" applyFill="1" applyBorder="1" applyAlignment="1">
      <alignment horizontal="center" vertical="center" wrapText="1"/>
    </xf>
    <xf numFmtId="0" fontId="13" fillId="2" borderId="57" xfId="1" applyFont="1" applyFill="1" applyBorder="1" applyAlignment="1">
      <alignment horizontal="left" vertical="center" wrapText="1"/>
    </xf>
    <xf numFmtId="0" fontId="13" fillId="2" borderId="55" xfId="2" applyNumberFormat="1" applyFont="1" applyFill="1" applyBorder="1" applyAlignment="1">
      <alignment horizontal="left" vertical="center" wrapText="1"/>
    </xf>
    <xf numFmtId="0" fontId="13" fillId="2" borderId="55" xfId="2" applyNumberFormat="1" applyFont="1" applyFill="1" applyBorder="1" applyAlignment="1">
      <alignment horizontal="center" vertical="center" wrapText="1"/>
    </xf>
    <xf numFmtId="165" fontId="13" fillId="2" borderId="58" xfId="3" applyNumberFormat="1" applyFont="1" applyFill="1" applyBorder="1" applyAlignment="1">
      <alignment horizontal="right" vertical="center" wrapText="1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Border="1" applyAlignment="1">
      <alignment horizontal="right" vertical="center"/>
    </xf>
    <xf numFmtId="0" fontId="13" fillId="2" borderId="0" xfId="1" applyFont="1" applyFill="1" applyAlignment="1">
      <alignment horizontal="left" vertical="center" wrapText="1"/>
    </xf>
    <xf numFmtId="0" fontId="13" fillId="2" borderId="0" xfId="2" applyNumberFormat="1" applyFont="1" applyFill="1" applyAlignment="1">
      <alignment horizontal="left" vertical="center" wrapText="1"/>
    </xf>
    <xf numFmtId="0" fontId="13" fillId="2" borderId="0" xfId="2" applyNumberFormat="1" applyFont="1" applyFill="1" applyAlignment="1">
      <alignment horizontal="center" vertical="center"/>
    </xf>
    <xf numFmtId="165" fontId="13" fillId="2" borderId="0" xfId="3" applyNumberFormat="1" applyFont="1" applyFill="1" applyAlignment="1">
      <alignment horizontal="right" vertical="center"/>
    </xf>
    <xf numFmtId="0" fontId="11" fillId="6" borderId="25" xfId="5" quotePrefix="1" applyFont="1" applyFill="1" applyBorder="1" applyAlignment="1">
      <alignment vertical="center" wrapText="1"/>
    </xf>
    <xf numFmtId="0" fontId="11" fillId="6" borderId="25" xfId="5" applyFont="1" applyFill="1" applyBorder="1" applyAlignment="1">
      <alignment vertical="center" wrapText="1"/>
    </xf>
    <xf numFmtId="9" fontId="11" fillId="2" borderId="24" xfId="8" applyFont="1" applyFill="1" applyBorder="1" applyAlignment="1">
      <alignment horizontal="center" vertical="center"/>
    </xf>
    <xf numFmtId="9" fontId="7" fillId="2" borderId="24" xfId="8" applyNumberFormat="1" applyFont="1" applyFill="1" applyBorder="1" applyAlignment="1">
      <alignment horizontal="center" vertical="center"/>
    </xf>
    <xf numFmtId="168" fontId="7" fillId="2" borderId="24" xfId="8" applyNumberFormat="1" applyFont="1" applyFill="1" applyBorder="1" applyAlignment="1">
      <alignment horizontal="center" vertical="center"/>
    </xf>
    <xf numFmtId="9" fontId="7" fillId="2" borderId="28" xfId="8" applyFont="1" applyFill="1" applyBorder="1" applyAlignment="1">
      <alignment horizontal="center" vertical="center" wrapText="1"/>
    </xf>
    <xf numFmtId="9" fontId="11" fillId="2" borderId="28" xfId="8" applyFont="1" applyFill="1" applyBorder="1" applyAlignment="1">
      <alignment horizontal="center" vertical="center" wrapText="1"/>
    </xf>
    <xf numFmtId="9" fontId="14" fillId="2" borderId="28" xfId="8" applyFont="1" applyFill="1" applyBorder="1" applyAlignment="1">
      <alignment horizontal="center" vertical="center" wrapText="1"/>
    </xf>
    <xf numFmtId="165" fontId="19" fillId="0" borderId="0" xfId="3" applyNumberFormat="1" applyFont="1" applyFill="1" applyBorder="1" applyAlignment="1">
      <alignment horizontal="center" vertical="center" wrapText="1"/>
    </xf>
    <xf numFmtId="9" fontId="11" fillId="0" borderId="24" xfId="5" applyNumberFormat="1" applyFont="1" applyFill="1" applyBorder="1" applyAlignment="1">
      <alignment horizontal="center" vertical="center"/>
    </xf>
    <xf numFmtId="0" fontId="11" fillId="0" borderId="24" xfId="5" applyFont="1" applyFill="1" applyBorder="1" applyAlignment="1">
      <alignment horizontal="center" vertical="center"/>
    </xf>
    <xf numFmtId="2" fontId="11" fillId="0" borderId="24" xfId="8" applyNumberFormat="1" applyFont="1" applyFill="1" applyBorder="1" applyAlignment="1">
      <alignment horizontal="center" vertical="center"/>
    </xf>
    <xf numFmtId="2" fontId="11" fillId="0" borderId="24" xfId="1" applyNumberFormat="1" applyFont="1" applyBorder="1" applyAlignment="1">
      <alignment horizontal="center" vertical="center" wrapText="1"/>
    </xf>
    <xf numFmtId="165" fontId="17" fillId="0" borderId="42" xfId="5" applyNumberFormat="1" applyFont="1" applyFill="1" applyBorder="1" applyAlignment="1">
      <alignment horizontal="right" vertical="center"/>
    </xf>
    <xf numFmtId="0" fontId="11" fillId="2" borderId="52" xfId="1" quotePrefix="1" applyFont="1" applyFill="1" applyBorder="1" applyAlignment="1">
      <alignment horizontal="center" vertical="center" wrapText="1"/>
    </xf>
    <xf numFmtId="0" fontId="7" fillId="0" borderId="24" xfId="5" quotePrefix="1" applyFont="1" applyBorder="1" applyAlignment="1">
      <alignment horizontal="center" vertical="center" wrapText="1"/>
    </xf>
    <xf numFmtId="0" fontId="11" fillId="0" borderId="25" xfId="5" quotePrefix="1" applyFont="1" applyFill="1" applyBorder="1" applyAlignment="1">
      <alignment horizontal="center" vertical="center"/>
    </xf>
    <xf numFmtId="0" fontId="11" fillId="0" borderId="24" xfId="5" quotePrefix="1" applyFont="1" applyBorder="1" applyAlignment="1">
      <alignment horizontal="center" vertical="center" wrapText="1"/>
    </xf>
    <xf numFmtId="0" fontId="20" fillId="0" borderId="0" xfId="1" applyNumberFormat="1" applyFont="1" applyFill="1" applyBorder="1" applyAlignment="1">
      <alignment horizontal="center" vertical="center"/>
    </xf>
    <xf numFmtId="0" fontId="20" fillId="2" borderId="0" xfId="1" applyNumberFormat="1" applyFont="1" applyFill="1" applyAlignment="1">
      <alignment horizontal="center" vertical="center"/>
    </xf>
    <xf numFmtId="0" fontId="20" fillId="2" borderId="0" xfId="1" applyNumberFormat="1" applyFont="1" applyFill="1" applyBorder="1" applyAlignment="1">
      <alignment horizontal="left" vertical="center"/>
    </xf>
    <xf numFmtId="0" fontId="20" fillId="2" borderId="0" xfId="1" applyNumberFormat="1" applyFont="1" applyFill="1" applyBorder="1" applyAlignment="1">
      <alignment horizontal="left" vertical="center" wrapText="1"/>
    </xf>
    <xf numFmtId="0" fontId="20" fillId="2" borderId="0" xfId="2" applyNumberFormat="1" applyFont="1" applyFill="1" applyBorder="1" applyAlignment="1">
      <alignment horizontal="left" vertical="center" wrapText="1"/>
    </xf>
    <xf numFmtId="0" fontId="21" fillId="2" borderId="0" xfId="2" applyNumberFormat="1" applyFont="1" applyFill="1" applyBorder="1" applyAlignment="1">
      <alignment horizontal="center" vertical="center"/>
    </xf>
    <xf numFmtId="165" fontId="21" fillId="2" borderId="0" xfId="3" applyNumberFormat="1" applyFont="1" applyFill="1" applyBorder="1" applyAlignment="1">
      <alignment horizontal="right" vertical="center"/>
    </xf>
    <xf numFmtId="165" fontId="21" fillId="0" borderId="0" xfId="3" applyNumberFormat="1" applyFont="1" applyFill="1" applyBorder="1" applyAlignment="1">
      <alignment horizontal="right" vertical="center"/>
    </xf>
    <xf numFmtId="0" fontId="20" fillId="2" borderId="0" xfId="1" applyNumberFormat="1" applyFont="1" applyFill="1" applyAlignment="1">
      <alignment horizontal="left" vertical="center"/>
    </xf>
    <xf numFmtId="0" fontId="7" fillId="2" borderId="22" xfId="5" applyFont="1" applyFill="1" applyBorder="1" applyAlignment="1">
      <alignment horizontal="left" vertical="center" wrapText="1"/>
    </xf>
    <xf numFmtId="0" fontId="7" fillId="2" borderId="0" xfId="1" applyFont="1" applyFill="1" applyAlignment="1">
      <alignment horizontal="center" vertical="center"/>
    </xf>
    <xf numFmtId="0" fontId="7" fillId="0" borderId="41" xfId="1" quotePrefix="1" applyFont="1" applyFill="1" applyBorder="1" applyAlignment="1">
      <alignment horizontal="center" vertical="center"/>
    </xf>
    <xf numFmtId="0" fontId="7" fillId="0" borderId="28" xfId="1" quotePrefix="1" applyFont="1" applyFill="1" applyBorder="1" applyAlignment="1">
      <alignment horizontal="center" vertical="center" wrapText="1"/>
    </xf>
    <xf numFmtId="0" fontId="7" fillId="2" borderId="39" xfId="5" applyFont="1" applyFill="1" applyBorder="1" applyAlignment="1">
      <alignment horizontal="left" vertical="center" wrapText="1"/>
    </xf>
    <xf numFmtId="0" fontId="7" fillId="2" borderId="28" xfId="5" applyFont="1" applyFill="1" applyBorder="1" applyAlignment="1">
      <alignment horizontal="left" vertical="top" wrapText="1"/>
    </xf>
    <xf numFmtId="9" fontId="7" fillId="2" borderId="28" xfId="5" applyNumberFormat="1" applyFont="1" applyFill="1" applyBorder="1" applyAlignment="1">
      <alignment horizontal="center" vertical="center"/>
    </xf>
    <xf numFmtId="165" fontId="7" fillId="0" borderId="42" xfId="5" applyNumberFormat="1" applyFont="1" applyFill="1" applyBorder="1" applyAlignment="1">
      <alignment horizontal="right" vertical="center"/>
    </xf>
    <xf numFmtId="165" fontId="7" fillId="0" borderId="0" xfId="5" applyNumberFormat="1" applyFont="1" applyFill="1" applyBorder="1" applyAlignment="1">
      <alignment horizontal="right" vertical="top"/>
    </xf>
    <xf numFmtId="0" fontId="11" fillId="0" borderId="24" xfId="5" applyFont="1" applyFill="1" applyBorder="1" applyAlignment="1">
      <alignment vertical="center" wrapText="1"/>
    </xf>
    <xf numFmtId="164" fontId="11" fillId="2" borderId="48" xfId="5" applyNumberFormat="1" applyFont="1" applyFill="1" applyBorder="1" applyAlignment="1">
      <alignment horizontal="center" vertical="center" wrapText="1"/>
    </xf>
    <xf numFmtId="0" fontId="13" fillId="0" borderId="47" xfId="1" quotePrefix="1" applyFont="1" applyFill="1" applyBorder="1" applyAlignment="1">
      <alignment horizontal="center" vertical="center"/>
    </xf>
    <xf numFmtId="0" fontId="13" fillId="2" borderId="44" xfId="5" applyFont="1" applyFill="1" applyBorder="1" applyAlignment="1">
      <alignment horizontal="left" vertical="center" wrapText="1"/>
    </xf>
    <xf numFmtId="0" fontId="13" fillId="2" borderId="45" xfId="5" applyFont="1" applyFill="1" applyBorder="1" applyAlignment="1">
      <alignment horizontal="left" vertical="center" wrapText="1"/>
    </xf>
    <xf numFmtId="0" fontId="13" fillId="2" borderId="48" xfId="5" applyFont="1" applyFill="1" applyBorder="1" applyAlignment="1">
      <alignment horizontal="left" vertical="top" wrapText="1"/>
    </xf>
    <xf numFmtId="9" fontId="13" fillId="2" borderId="43" xfId="5" applyNumberFormat="1" applyFont="1" applyFill="1" applyBorder="1" applyAlignment="1">
      <alignment horizontal="center" vertical="center"/>
    </xf>
    <xf numFmtId="165" fontId="13" fillId="2" borderId="49" xfId="5" applyNumberFormat="1" applyFont="1" applyFill="1" applyBorder="1" applyAlignment="1">
      <alignment horizontal="right" vertical="top"/>
    </xf>
    <xf numFmtId="9" fontId="11" fillId="2" borderId="25" xfId="13" applyNumberFormat="1" applyFont="1" applyFill="1" applyBorder="1" applyAlignment="1">
      <alignment horizontal="center" vertical="center"/>
    </xf>
    <xf numFmtId="2" fontId="17" fillId="0" borderId="28" xfId="1" applyNumberFormat="1" applyFont="1" applyFill="1" applyBorder="1" applyAlignment="1">
      <alignment horizontal="center" vertical="center" wrapText="1"/>
    </xf>
    <xf numFmtId="0" fontId="7" fillId="6" borderId="26" xfId="5" applyFont="1" applyFill="1" applyBorder="1" applyAlignment="1">
      <alignment vertical="center" wrapText="1"/>
    </xf>
    <xf numFmtId="0" fontId="7" fillId="6" borderId="27" xfId="5" applyFont="1" applyFill="1" applyBorder="1" applyAlignment="1">
      <alignment vertical="center" wrapText="1"/>
    </xf>
    <xf numFmtId="0" fontId="9" fillId="2" borderId="0" xfId="1" applyNumberFormat="1" applyFont="1" applyFill="1" applyBorder="1" applyAlignment="1">
      <alignment horizontal="center" vertical="center"/>
    </xf>
    <xf numFmtId="0" fontId="20" fillId="2" borderId="0" xfId="1" applyNumberFormat="1" applyFont="1" applyFill="1" applyBorder="1" applyAlignment="1">
      <alignment horizontal="center" vertical="center"/>
    </xf>
    <xf numFmtId="167" fontId="7" fillId="0" borderId="24" xfId="5" applyNumberFormat="1" applyFont="1" applyFill="1" applyBorder="1" applyAlignment="1">
      <alignment horizontal="center" vertical="center"/>
    </xf>
    <xf numFmtId="165" fontId="11" fillId="0" borderId="0" xfId="3" applyNumberFormat="1" applyFont="1" applyFill="1" applyBorder="1" applyAlignment="1">
      <alignment horizontal="center" vertical="center"/>
    </xf>
    <xf numFmtId="165" fontId="19" fillId="0" borderId="0" xfId="3" applyNumberFormat="1" applyFont="1" applyFill="1" applyBorder="1" applyAlignment="1">
      <alignment horizontal="center" vertical="center"/>
    </xf>
    <xf numFmtId="165" fontId="9" fillId="0" borderId="0" xfId="1" applyNumberFormat="1" applyFont="1" applyFill="1" applyBorder="1" applyAlignment="1">
      <alignment horizontal="center" vertical="center" wrapText="1"/>
    </xf>
    <xf numFmtId="4" fontId="9" fillId="0" borderId="0" xfId="5" applyNumberFormat="1" applyFont="1" applyFill="1" applyBorder="1" applyAlignment="1">
      <alignment horizontal="center" vertical="center" wrapText="1"/>
    </xf>
    <xf numFmtId="4" fontId="11" fillId="0" borderId="0" xfId="5" applyNumberFormat="1" applyFont="1" applyFill="1" applyBorder="1" applyAlignment="1">
      <alignment horizontal="center" vertical="center" wrapText="1"/>
    </xf>
    <xf numFmtId="165" fontId="11" fillId="0" borderId="0" xfId="5" applyNumberFormat="1" applyFont="1" applyFill="1" applyBorder="1" applyAlignment="1">
      <alignment horizontal="center" vertical="center" wrapText="1"/>
    </xf>
    <xf numFmtId="165" fontId="7" fillId="0" borderId="0" xfId="5" applyNumberFormat="1" applyFont="1" applyFill="1" applyBorder="1" applyAlignment="1">
      <alignment horizontal="center" vertical="center" wrapText="1"/>
    </xf>
    <xf numFmtId="165" fontId="13" fillId="0" borderId="0" xfId="3" applyNumberFormat="1" applyFont="1" applyFill="1" applyBorder="1" applyAlignment="1">
      <alignment horizontal="center" vertical="center" wrapText="1"/>
    </xf>
    <xf numFmtId="165" fontId="11" fillId="0" borderId="0" xfId="5" applyNumberFormat="1" applyFont="1" applyFill="1" applyBorder="1" applyAlignment="1">
      <alignment horizontal="center" vertical="center"/>
    </xf>
    <xf numFmtId="4" fontId="7" fillId="0" borderId="0" xfId="5" applyNumberFormat="1" applyFont="1" applyFill="1" applyBorder="1" applyAlignment="1">
      <alignment horizontal="center" vertical="center" wrapText="1"/>
    </xf>
    <xf numFmtId="165" fontId="13" fillId="0" borderId="0" xfId="5" applyNumberFormat="1" applyFont="1" applyFill="1" applyBorder="1" applyAlignment="1">
      <alignment horizontal="center" vertical="center"/>
    </xf>
    <xf numFmtId="165" fontId="9" fillId="0" borderId="0" xfId="3" applyNumberFormat="1" applyFont="1" applyFill="1" applyBorder="1" applyAlignment="1">
      <alignment horizontal="center" vertical="center"/>
    </xf>
    <xf numFmtId="165" fontId="11" fillId="0" borderId="0" xfId="12" applyNumberFormat="1" applyFont="1" applyFill="1" applyBorder="1" applyAlignment="1">
      <alignment horizontal="center" vertical="center" wrapText="1"/>
    </xf>
    <xf numFmtId="165" fontId="7" fillId="0" borderId="0" xfId="5" applyNumberFormat="1" applyFont="1" applyFill="1" applyBorder="1" applyAlignment="1">
      <alignment horizontal="center" vertical="center"/>
    </xf>
    <xf numFmtId="165" fontId="17" fillId="0" borderId="0" xfId="5" applyNumberFormat="1" applyFont="1" applyFill="1" applyBorder="1" applyAlignment="1">
      <alignment horizontal="center" vertical="center"/>
    </xf>
    <xf numFmtId="165" fontId="17" fillId="0" borderId="0" xfId="12" applyNumberFormat="1" applyFont="1" applyFill="1" applyBorder="1" applyAlignment="1">
      <alignment horizontal="center" vertical="center" wrapText="1"/>
    </xf>
    <xf numFmtId="165" fontId="13" fillId="0" borderId="0" xfId="3" applyNumberFormat="1" applyFont="1" applyFill="1" applyBorder="1" applyAlignment="1">
      <alignment horizontal="center" vertical="center"/>
    </xf>
    <xf numFmtId="165" fontId="11" fillId="0" borderId="0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165" fontId="18" fillId="0" borderId="0" xfId="1" applyNumberFormat="1" applyFont="1" applyFill="1" applyBorder="1" applyAlignment="1">
      <alignment horizontal="center" vertical="center" wrapText="1"/>
    </xf>
    <xf numFmtId="165" fontId="11" fillId="0" borderId="0" xfId="3" applyNumberFormat="1" applyFont="1" applyFill="1" applyBorder="1" applyAlignment="1">
      <alignment horizontal="center" vertical="center" wrapText="1"/>
    </xf>
    <xf numFmtId="165" fontId="13" fillId="0" borderId="0" xfId="12" applyNumberFormat="1" applyFont="1" applyFill="1" applyBorder="1" applyAlignment="1">
      <alignment horizontal="center" vertical="center" wrapText="1"/>
    </xf>
    <xf numFmtId="165" fontId="7" fillId="0" borderId="0" xfId="3" applyNumberFormat="1" applyFont="1" applyFill="1" applyBorder="1" applyAlignment="1">
      <alignment horizontal="center" vertical="center" wrapText="1"/>
    </xf>
    <xf numFmtId="0" fontId="9" fillId="2" borderId="11" xfId="2" applyNumberFormat="1" applyFont="1" applyFill="1" applyBorder="1" applyAlignment="1">
      <alignment horizontal="center" vertical="center" wrapText="1"/>
    </xf>
    <xf numFmtId="0" fontId="11" fillId="2" borderId="46" xfId="2" applyNumberFormat="1" applyFont="1" applyFill="1" applyBorder="1" applyAlignment="1">
      <alignment horizontal="center" vertical="center" wrapText="1"/>
    </xf>
    <xf numFmtId="165" fontId="9" fillId="0" borderId="11" xfId="1" applyNumberFormat="1" applyFont="1" applyFill="1" applyBorder="1" applyAlignment="1">
      <alignment horizontal="right" vertical="center" wrapText="1"/>
    </xf>
    <xf numFmtId="164" fontId="9" fillId="5" borderId="11" xfId="5" applyNumberFormat="1" applyFont="1" applyFill="1" applyBorder="1" applyAlignment="1">
      <alignment horizontal="center" vertical="center" wrapText="1"/>
    </xf>
    <xf numFmtId="9" fontId="11" fillId="2" borderId="30" xfId="5" applyNumberFormat="1" applyFont="1" applyFill="1" applyBorder="1" applyAlignment="1">
      <alignment horizontal="center" vertical="center" wrapText="1"/>
    </xf>
    <xf numFmtId="9" fontId="11" fillId="2" borderId="32" xfId="5" applyNumberFormat="1" applyFont="1" applyFill="1" applyBorder="1" applyAlignment="1">
      <alignment horizontal="center" vertical="center" wrapText="1"/>
    </xf>
    <xf numFmtId="164" fontId="11" fillId="2" borderId="42" xfId="5" applyNumberFormat="1" applyFont="1" applyFill="1" applyBorder="1" applyAlignment="1">
      <alignment horizontal="center" vertical="center" wrapText="1"/>
    </xf>
    <xf numFmtId="9" fontId="7" fillId="2" borderId="30" xfId="8" applyFont="1" applyFill="1" applyBorder="1" applyAlignment="1">
      <alignment horizontal="center" vertical="center"/>
    </xf>
    <xf numFmtId="0" fontId="11" fillId="5" borderId="11" xfId="5" applyFont="1" applyFill="1" applyBorder="1" applyAlignment="1">
      <alignment vertical="center"/>
    </xf>
    <xf numFmtId="9" fontId="11" fillId="0" borderId="30" xfId="5" applyNumberFormat="1" applyFont="1" applyBorder="1" applyAlignment="1">
      <alignment horizontal="center" vertical="center"/>
    </xf>
    <xf numFmtId="2" fontId="7" fillId="0" borderId="30" xfId="1" applyNumberFormat="1" applyFont="1" applyBorder="1" applyAlignment="1">
      <alignment horizontal="center" vertical="center" wrapText="1"/>
    </xf>
    <xf numFmtId="9" fontId="11" fillId="0" borderId="30" xfId="8" applyFont="1" applyFill="1" applyBorder="1" applyAlignment="1">
      <alignment horizontal="center" vertical="center"/>
    </xf>
    <xf numFmtId="9" fontId="7" fillId="0" borderId="30" xfId="8" applyFont="1" applyFill="1" applyBorder="1" applyAlignment="1">
      <alignment horizontal="center" vertical="center"/>
    </xf>
    <xf numFmtId="9" fontId="11" fillId="2" borderId="30" xfId="5" applyNumberFormat="1" applyFont="1" applyFill="1" applyBorder="1" applyAlignment="1">
      <alignment horizontal="center" vertical="center"/>
    </xf>
    <xf numFmtId="9" fontId="11" fillId="0" borderId="30" xfId="5" applyNumberFormat="1" applyFont="1" applyFill="1" applyBorder="1" applyAlignment="1">
      <alignment horizontal="center" vertical="center"/>
    </xf>
    <xf numFmtId="9" fontId="11" fillId="0" borderId="32" xfId="5" applyNumberFormat="1" applyFont="1" applyBorder="1" applyAlignment="1">
      <alignment horizontal="center" vertical="center"/>
    </xf>
    <xf numFmtId="9" fontId="7" fillId="0" borderId="32" xfId="5" applyNumberFormat="1" applyFont="1" applyBorder="1" applyAlignment="1">
      <alignment horizontal="center" vertical="center"/>
    </xf>
    <xf numFmtId="9" fontId="11" fillId="0" borderId="30" xfId="8" applyFont="1" applyBorder="1" applyAlignment="1">
      <alignment horizontal="center" vertical="center"/>
    </xf>
    <xf numFmtId="2" fontId="7" fillId="0" borderId="30" xfId="1" applyNumberFormat="1" applyFont="1" applyFill="1" applyBorder="1" applyAlignment="1">
      <alignment horizontal="center" vertical="center" wrapText="1"/>
    </xf>
    <xf numFmtId="165" fontId="11" fillId="2" borderId="30" xfId="12" applyFont="1" applyFill="1" applyBorder="1" applyAlignment="1">
      <alignment horizontal="center" vertical="center" wrapText="1"/>
    </xf>
    <xf numFmtId="9" fontId="7" fillId="0" borderId="30" xfId="5" applyNumberFormat="1" applyFont="1" applyBorder="1" applyAlignment="1">
      <alignment horizontal="center" vertical="center"/>
    </xf>
    <xf numFmtId="0" fontId="13" fillId="2" borderId="42" xfId="2" applyNumberFormat="1" applyFont="1" applyFill="1" applyBorder="1" applyAlignment="1">
      <alignment horizontal="center" vertical="center" wrapText="1"/>
    </xf>
    <xf numFmtId="0" fontId="9" fillId="5" borderId="11" xfId="1" applyFont="1" applyFill="1" applyBorder="1" applyAlignment="1">
      <alignment horizontal="center" vertical="center" wrapText="1"/>
    </xf>
    <xf numFmtId="9" fontId="11" fillId="2" borderId="30" xfId="13" applyNumberFormat="1" applyFont="1" applyFill="1" applyBorder="1" applyAlignment="1">
      <alignment horizontal="center" vertical="center"/>
    </xf>
    <xf numFmtId="9" fontId="13" fillId="2" borderId="42" xfId="2" applyNumberFormat="1" applyFont="1" applyFill="1" applyBorder="1" applyAlignment="1">
      <alignment horizontal="center" vertical="center" wrapText="1"/>
    </xf>
    <xf numFmtId="9" fontId="11" fillId="2" borderId="30" xfId="1" applyNumberFormat="1" applyFont="1" applyFill="1" applyBorder="1" applyAlignment="1">
      <alignment horizontal="center" vertical="center" wrapText="1"/>
    </xf>
    <xf numFmtId="0" fontId="11" fillId="2" borderId="30" xfId="1" applyFont="1" applyFill="1" applyBorder="1" applyAlignment="1">
      <alignment horizontal="center" vertical="center" wrapText="1"/>
    </xf>
    <xf numFmtId="9" fontId="7" fillId="2" borderId="30" xfId="1" applyNumberFormat="1" applyFont="1" applyFill="1" applyBorder="1" applyAlignment="1">
      <alignment horizontal="center" vertical="center" wrapText="1"/>
    </xf>
    <xf numFmtId="0" fontId="18" fillId="2" borderId="42" xfId="1" applyFont="1" applyFill="1" applyBorder="1" applyAlignment="1">
      <alignment horizontal="center" vertical="center" wrapText="1"/>
    </xf>
    <xf numFmtId="9" fontId="11" fillId="2" borderId="30" xfId="8" applyFont="1" applyFill="1" applyBorder="1" applyAlignment="1">
      <alignment horizontal="center" vertical="center"/>
    </xf>
    <xf numFmtId="9" fontId="7" fillId="2" borderId="30" xfId="8" applyNumberFormat="1" applyFont="1" applyFill="1" applyBorder="1" applyAlignment="1">
      <alignment horizontal="center" vertical="center"/>
    </xf>
    <xf numFmtId="168" fontId="7" fillId="2" borderId="30" xfId="8" applyNumberFormat="1" applyFont="1" applyFill="1" applyBorder="1" applyAlignment="1">
      <alignment horizontal="center" vertical="center"/>
    </xf>
    <xf numFmtId="0" fontId="13" fillId="2" borderId="58" xfId="2" applyNumberFormat="1" applyFont="1" applyFill="1" applyBorder="1" applyAlignment="1">
      <alignment horizontal="center" vertical="center" wrapText="1"/>
    </xf>
    <xf numFmtId="165" fontId="6" fillId="2" borderId="30" xfId="12" applyFont="1" applyFill="1" applyBorder="1" applyAlignment="1">
      <alignment horizontal="center" vertical="center" wrapText="1"/>
    </xf>
    <xf numFmtId="0" fontId="11" fillId="0" borderId="53" xfId="1" applyFont="1" applyFill="1" applyBorder="1" applyAlignment="1">
      <alignment horizontal="center" vertical="center" wrapText="1"/>
    </xf>
    <xf numFmtId="168" fontId="7" fillId="2" borderId="32" xfId="8" applyNumberFormat="1" applyFont="1" applyFill="1" applyBorder="1" applyAlignment="1">
      <alignment horizontal="center" vertical="center"/>
    </xf>
    <xf numFmtId="0" fontId="11" fillId="0" borderId="32" xfId="1" applyFont="1" applyFill="1" applyBorder="1" applyAlignment="1">
      <alignment horizontal="center" vertical="center" wrapText="1"/>
    </xf>
    <xf numFmtId="0" fontId="7" fillId="6" borderId="34" xfId="5" applyFont="1" applyFill="1" applyBorder="1" applyAlignment="1">
      <alignment vertical="center" wrapText="1"/>
    </xf>
    <xf numFmtId="9" fontId="11" fillId="2" borderId="32" xfId="5" applyNumberFormat="1" applyFont="1" applyFill="1" applyBorder="1" applyAlignment="1">
      <alignment vertical="center" wrapText="1"/>
    </xf>
    <xf numFmtId="164" fontId="11" fillId="2" borderId="42" xfId="5" applyNumberFormat="1" applyFont="1" applyFill="1" applyBorder="1" applyAlignment="1">
      <alignment vertical="center" wrapText="1"/>
    </xf>
    <xf numFmtId="164" fontId="9" fillId="5" borderId="11" xfId="5" applyNumberFormat="1" applyFont="1" applyFill="1" applyBorder="1" applyAlignment="1">
      <alignment vertical="center" wrapText="1"/>
    </xf>
    <xf numFmtId="164" fontId="11" fillId="2" borderId="49" xfId="5" applyNumberFormat="1" applyFont="1" applyFill="1" applyBorder="1" applyAlignment="1">
      <alignment vertical="center" wrapText="1"/>
    </xf>
    <xf numFmtId="9" fontId="11" fillId="0" borderId="32" xfId="5" applyNumberFormat="1" applyFont="1" applyFill="1" applyBorder="1" applyAlignment="1">
      <alignment vertical="center" wrapText="1"/>
    </xf>
    <xf numFmtId="9" fontId="11" fillId="2" borderId="42" xfId="5" applyNumberFormat="1" applyFont="1" applyFill="1" applyBorder="1" applyAlignment="1">
      <alignment vertical="center" wrapText="1"/>
    </xf>
    <xf numFmtId="9" fontId="11" fillId="2" borderId="30" xfId="5" applyNumberFormat="1" applyFont="1" applyFill="1" applyBorder="1" applyAlignment="1">
      <alignment vertical="center" wrapText="1"/>
    </xf>
    <xf numFmtId="164" fontId="13" fillId="2" borderId="49" xfId="1" applyNumberFormat="1" applyFont="1" applyFill="1" applyBorder="1" applyAlignment="1">
      <alignment vertical="center" wrapText="1"/>
    </xf>
    <xf numFmtId="9" fontId="11" fillId="0" borderId="30" xfId="5" applyNumberFormat="1" applyFont="1" applyBorder="1" applyAlignment="1">
      <alignment vertical="center"/>
    </xf>
    <xf numFmtId="2" fontId="11" fillId="0" borderId="30" xfId="1" applyNumberFormat="1" applyFont="1" applyBorder="1" applyAlignment="1">
      <alignment vertical="center" wrapText="1"/>
    </xf>
    <xf numFmtId="2" fontId="7" fillId="0" borderId="30" xfId="8" applyNumberFormat="1" applyFont="1" applyFill="1" applyBorder="1" applyAlignment="1">
      <alignment vertical="center"/>
    </xf>
    <xf numFmtId="2" fontId="11" fillId="0" borderId="30" xfId="8" applyNumberFormat="1" applyFont="1" applyFill="1" applyBorder="1" applyAlignment="1">
      <alignment vertical="center"/>
    </xf>
    <xf numFmtId="2" fontId="7" fillId="0" borderId="30" xfId="1" applyNumberFormat="1" applyFont="1" applyBorder="1" applyAlignment="1">
      <alignment vertical="center" wrapText="1"/>
    </xf>
    <xf numFmtId="9" fontId="11" fillId="0" borderId="30" xfId="8" applyFont="1" applyFill="1" applyBorder="1" applyAlignment="1">
      <alignment vertical="center"/>
    </xf>
    <xf numFmtId="0" fontId="11" fillId="0" borderId="30" xfId="5" applyFont="1" applyFill="1" applyBorder="1" applyAlignment="1">
      <alignment vertical="center"/>
    </xf>
    <xf numFmtId="9" fontId="7" fillId="0" borderId="30" xfId="8" applyFont="1" applyFill="1" applyBorder="1" applyAlignment="1">
      <alignment vertical="center"/>
    </xf>
    <xf numFmtId="9" fontId="11" fillId="2" borderId="30" xfId="5" applyNumberFormat="1" applyFont="1" applyFill="1" applyBorder="1" applyAlignment="1">
      <alignment vertical="center"/>
    </xf>
    <xf numFmtId="9" fontId="11" fillId="2" borderId="42" xfId="8" applyFont="1" applyFill="1" applyBorder="1" applyAlignment="1">
      <alignment vertical="center"/>
    </xf>
    <xf numFmtId="9" fontId="7" fillId="2" borderId="42" xfId="8" applyFont="1" applyFill="1" applyBorder="1" applyAlignment="1">
      <alignment vertical="center"/>
    </xf>
    <xf numFmtId="9" fontId="11" fillId="2" borderId="42" xfId="8" applyFont="1" applyFill="1" applyBorder="1" applyAlignment="1">
      <alignment vertical="center" wrapText="1"/>
    </xf>
    <xf numFmtId="9" fontId="7" fillId="2" borderId="42" xfId="8" applyFont="1" applyFill="1" applyBorder="1" applyAlignment="1">
      <alignment vertical="center" wrapText="1"/>
    </xf>
    <xf numFmtId="9" fontId="14" fillId="2" borderId="42" xfId="8" applyFont="1" applyFill="1" applyBorder="1" applyAlignment="1">
      <alignment vertical="center" wrapText="1"/>
    </xf>
    <xf numFmtId="9" fontId="11" fillId="0" borderId="30" xfId="12" applyNumberFormat="1" applyFont="1" applyFill="1" applyBorder="1" applyAlignment="1">
      <alignment vertical="center" wrapText="1"/>
    </xf>
    <xf numFmtId="0" fontId="11" fillId="2" borderId="42" xfId="14" applyFont="1" applyFill="1" applyBorder="1" applyAlignment="1">
      <alignment vertical="center"/>
    </xf>
    <xf numFmtId="0" fontId="11" fillId="0" borderId="30" xfId="14" applyFont="1" applyFill="1" applyBorder="1" applyAlignment="1">
      <alignment vertical="center"/>
    </xf>
    <xf numFmtId="165" fontId="13" fillId="2" borderId="49" xfId="12" applyFont="1" applyFill="1" applyBorder="1" applyAlignment="1">
      <alignment vertical="center" wrapText="1"/>
    </xf>
    <xf numFmtId="0" fontId="9" fillId="5" borderId="11" xfId="9" applyFont="1" applyFill="1" applyBorder="1" applyAlignment="1">
      <alignment vertical="center" wrapText="1"/>
    </xf>
    <xf numFmtId="0" fontId="13" fillId="2" borderId="42" xfId="14" applyFont="1" applyFill="1" applyBorder="1" applyAlignment="1">
      <alignment vertical="center"/>
    </xf>
    <xf numFmtId="9" fontId="11" fillId="2" borderId="42" xfId="5" applyNumberFormat="1" applyFont="1" applyFill="1" applyBorder="1" applyAlignment="1">
      <alignment vertical="center"/>
    </xf>
    <xf numFmtId="0" fontId="13" fillId="2" borderId="49" xfId="14" applyFont="1" applyFill="1" applyBorder="1" applyAlignment="1">
      <alignment vertical="center"/>
    </xf>
    <xf numFmtId="164" fontId="9" fillId="5" borderId="11" xfId="1" applyNumberFormat="1" applyFont="1" applyFill="1" applyBorder="1" applyAlignment="1">
      <alignment vertical="center" wrapText="1"/>
    </xf>
    <xf numFmtId="9" fontId="11" fillId="2" borderId="30" xfId="14" applyNumberFormat="1" applyFont="1" applyFill="1" applyBorder="1" applyAlignment="1">
      <alignment vertical="center"/>
    </xf>
    <xf numFmtId="9" fontId="7" fillId="0" borderId="32" xfId="1" applyNumberFormat="1" applyFont="1" applyFill="1" applyBorder="1" applyAlignment="1">
      <alignment vertical="center" wrapText="1"/>
    </xf>
    <xf numFmtId="9" fontId="7" fillId="2" borderId="30" xfId="14" applyNumberFormat="1" applyFont="1" applyFill="1" applyBorder="1" applyAlignment="1">
      <alignment vertical="center"/>
    </xf>
    <xf numFmtId="9" fontId="11" fillId="2" borderId="32" xfId="14" applyNumberFormat="1" applyFont="1" applyFill="1" applyBorder="1" applyAlignment="1">
      <alignment vertical="center"/>
    </xf>
    <xf numFmtId="9" fontId="11" fillId="2" borderId="42" xfId="14" applyNumberFormat="1" applyFont="1" applyFill="1" applyBorder="1" applyAlignment="1">
      <alignment vertical="center"/>
    </xf>
    <xf numFmtId="9" fontId="9" fillId="5" borderId="11" xfId="14" applyNumberFormat="1" applyFont="1" applyFill="1" applyBorder="1" applyAlignment="1">
      <alignment vertical="center"/>
    </xf>
    <xf numFmtId="9" fontId="13" fillId="2" borderId="42" xfId="14" applyNumberFormat="1" applyFont="1" applyFill="1" applyBorder="1" applyAlignment="1">
      <alignment vertical="center"/>
    </xf>
    <xf numFmtId="9" fontId="11" fillId="2" borderId="32" xfId="13" applyNumberFormat="1" applyFont="1" applyFill="1" applyBorder="1" applyAlignment="1">
      <alignment vertical="center"/>
    </xf>
    <xf numFmtId="164" fontId="17" fillId="0" borderId="30" xfId="4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11" fillId="0" borderId="30" xfId="1" applyFont="1" applyFill="1" applyBorder="1" applyAlignment="1">
      <alignment horizontal="center" vertical="center"/>
    </xf>
    <xf numFmtId="0" fontId="17" fillId="0" borderId="30" xfId="1" applyFont="1" applyFill="1" applyBorder="1" applyAlignment="1">
      <alignment horizontal="center" vertical="center"/>
    </xf>
    <xf numFmtId="0" fontId="14" fillId="0" borderId="30" xfId="1" applyFont="1" applyFill="1" applyBorder="1" applyAlignment="1">
      <alignment horizontal="center" vertical="center"/>
    </xf>
    <xf numFmtId="43" fontId="11" fillId="0" borderId="30" xfId="1" applyNumberFormat="1" applyFont="1" applyFill="1" applyBorder="1" applyAlignment="1">
      <alignment horizontal="center" vertical="center"/>
    </xf>
    <xf numFmtId="0" fontId="11" fillId="2" borderId="30" xfId="1" applyFont="1" applyFill="1" applyBorder="1" applyAlignment="1">
      <alignment horizontal="center" vertical="center"/>
    </xf>
    <xf numFmtId="165" fontId="11" fillId="0" borderId="30" xfId="1" applyNumberFormat="1" applyFont="1" applyFill="1" applyBorder="1" applyAlignment="1">
      <alignment horizontal="center" vertical="center"/>
    </xf>
    <xf numFmtId="164" fontId="17" fillId="2" borderId="30" xfId="4" applyFont="1" applyFill="1" applyBorder="1" applyAlignment="1">
      <alignment horizontal="center" vertical="center"/>
    </xf>
    <xf numFmtId="165" fontId="9" fillId="4" borderId="11" xfId="3" applyNumberFormat="1" applyFont="1" applyFill="1" applyBorder="1" applyAlignment="1">
      <alignment vertical="center" wrapText="1"/>
    </xf>
    <xf numFmtId="0" fontId="13" fillId="0" borderId="42" xfId="1" applyFont="1" applyFill="1" applyBorder="1" applyAlignment="1">
      <alignment horizontal="center" vertical="center"/>
    </xf>
    <xf numFmtId="164" fontId="11" fillId="0" borderId="32" xfId="4" applyFont="1" applyFill="1" applyBorder="1" applyAlignment="1">
      <alignment horizontal="center" vertical="center"/>
    </xf>
    <xf numFmtId="164" fontId="9" fillId="5" borderId="11" xfId="4" applyFont="1" applyFill="1" applyBorder="1" applyAlignment="1">
      <alignment horizontal="center" vertical="center"/>
    </xf>
    <xf numFmtId="0" fontId="11" fillId="0" borderId="24" xfId="5" applyFont="1" applyFill="1" applyBorder="1" applyAlignment="1">
      <alignment horizontal="left" vertical="center" wrapText="1"/>
    </xf>
    <xf numFmtId="0" fontId="11" fillId="7" borderId="23" xfId="1" quotePrefix="1" applyFont="1" applyFill="1" applyBorder="1" applyAlignment="1">
      <alignment horizontal="center" vertical="center"/>
    </xf>
    <xf numFmtId="0" fontId="11" fillId="7" borderId="24" xfId="1" quotePrefix="1" applyFont="1" applyFill="1" applyBorder="1" applyAlignment="1">
      <alignment horizontal="center" vertical="center" wrapText="1"/>
    </xf>
    <xf numFmtId="165" fontId="11" fillId="7" borderId="30" xfId="5" applyNumberFormat="1" applyFont="1" applyFill="1" applyBorder="1" applyAlignment="1">
      <alignment horizontal="right" vertical="center" wrapText="1"/>
    </xf>
    <xf numFmtId="0" fontId="7" fillId="0" borderId="24" xfId="5" applyFont="1" applyFill="1" applyBorder="1" applyAlignment="1">
      <alignment vertical="center" wrapText="1"/>
    </xf>
    <xf numFmtId="0" fontId="7" fillId="0" borderId="24" xfId="5" applyFont="1" applyBorder="1" applyAlignment="1">
      <alignment vertical="center" wrapText="1"/>
    </xf>
    <xf numFmtId="0" fontId="17" fillId="0" borderId="24" xfId="5" applyFont="1" applyBorder="1" applyAlignment="1">
      <alignment vertical="center" wrapText="1"/>
    </xf>
    <xf numFmtId="2" fontId="7" fillId="0" borderId="24" xfId="5" applyNumberFormat="1" applyFont="1" applyBorder="1" applyAlignment="1">
      <alignment vertical="center" wrapText="1"/>
    </xf>
    <xf numFmtId="0" fontId="14" fillId="0" borderId="24" xfId="5" applyFont="1" applyBorder="1" applyAlignment="1">
      <alignment vertical="center" wrapText="1"/>
    </xf>
    <xf numFmtId="0" fontId="17" fillId="0" borderId="24" xfId="5" applyFont="1" applyFill="1" applyBorder="1" applyAlignment="1">
      <alignment vertical="center" wrapText="1"/>
    </xf>
    <xf numFmtId="1" fontId="9" fillId="2" borderId="16" xfId="3" applyNumberFormat="1" applyFont="1" applyFill="1" applyBorder="1" applyAlignment="1">
      <alignment horizontal="center" vertical="center" wrapText="1"/>
    </xf>
    <xf numFmtId="165" fontId="9" fillId="2" borderId="9" xfId="3" applyNumberFormat="1" applyFont="1" applyFill="1" applyBorder="1" applyAlignment="1">
      <alignment horizontal="right" vertical="center"/>
    </xf>
    <xf numFmtId="165" fontId="9" fillId="4" borderId="60" xfId="1" applyNumberFormat="1" applyFont="1" applyFill="1" applyBorder="1" applyAlignment="1">
      <alignment horizontal="right" vertical="center" wrapText="1"/>
    </xf>
    <xf numFmtId="4" fontId="9" fillId="5" borderId="16" xfId="5" applyNumberFormat="1" applyFont="1" applyFill="1" applyBorder="1" applyAlignment="1">
      <alignment horizontal="right" vertical="center" wrapText="1"/>
    </xf>
    <xf numFmtId="4" fontId="11" fillId="0" borderId="29" xfId="5" applyNumberFormat="1" applyFont="1" applyFill="1" applyBorder="1" applyAlignment="1">
      <alignment horizontal="right" vertical="center" wrapText="1"/>
    </xf>
    <xf numFmtId="4" fontId="11" fillId="0" borderId="25" xfId="5" applyNumberFormat="1" applyFont="1" applyFill="1" applyBorder="1" applyAlignment="1">
      <alignment horizontal="right" vertical="center" wrapText="1"/>
    </xf>
    <xf numFmtId="4" fontId="11" fillId="0" borderId="39" xfId="5" applyNumberFormat="1" applyFont="1" applyFill="1" applyBorder="1" applyAlignment="1">
      <alignment horizontal="right" vertical="center" wrapText="1"/>
    </xf>
    <xf numFmtId="4" fontId="11" fillId="2" borderId="29" xfId="5" applyNumberFormat="1" applyFont="1" applyFill="1" applyBorder="1" applyAlignment="1">
      <alignment horizontal="right" vertical="center" wrapText="1"/>
    </xf>
    <xf numFmtId="165" fontId="11" fillId="7" borderId="25" xfId="5" applyNumberFormat="1" applyFont="1" applyFill="1" applyBorder="1" applyAlignment="1">
      <alignment horizontal="right" vertical="center" wrapText="1"/>
    </xf>
    <xf numFmtId="165" fontId="7" fillId="0" borderId="25" xfId="5" applyNumberFormat="1" applyFont="1" applyFill="1" applyBorder="1" applyAlignment="1">
      <alignment horizontal="right" vertical="center" wrapText="1"/>
    </xf>
    <xf numFmtId="165" fontId="11" fillId="0" borderId="29" xfId="5" applyNumberFormat="1" applyFont="1" applyFill="1" applyBorder="1" applyAlignment="1">
      <alignment horizontal="right" vertical="center" wrapText="1"/>
    </xf>
    <xf numFmtId="165" fontId="7" fillId="0" borderId="29" xfId="5" applyNumberFormat="1" applyFont="1" applyFill="1" applyBorder="1" applyAlignment="1">
      <alignment horizontal="right" vertical="center" wrapText="1"/>
    </xf>
    <xf numFmtId="4" fontId="11" fillId="2" borderId="43" xfId="5" applyNumberFormat="1" applyFont="1" applyFill="1" applyBorder="1" applyAlignment="1">
      <alignment horizontal="right" vertical="center" wrapText="1"/>
    </xf>
    <xf numFmtId="4" fontId="11" fillId="2" borderId="25" xfId="5" applyNumberFormat="1" applyFont="1" applyFill="1" applyBorder="1" applyAlignment="1">
      <alignment horizontal="right" vertical="center" wrapText="1"/>
    </xf>
    <xf numFmtId="4" fontId="11" fillId="2" borderId="39" xfId="5" applyNumberFormat="1" applyFont="1" applyFill="1" applyBorder="1" applyAlignment="1">
      <alignment horizontal="right" vertical="center" wrapText="1"/>
    </xf>
    <xf numFmtId="165" fontId="13" fillId="2" borderId="43" xfId="3" applyNumberFormat="1" applyFont="1" applyFill="1" applyBorder="1" applyAlignment="1">
      <alignment horizontal="right" vertical="center" wrapText="1"/>
    </xf>
    <xf numFmtId="165" fontId="9" fillId="4" borderId="9" xfId="3" applyNumberFormat="1" applyFont="1" applyFill="1" applyBorder="1" applyAlignment="1">
      <alignment horizontal="right" vertical="center" wrapText="1"/>
    </xf>
    <xf numFmtId="166" fontId="9" fillId="5" borderId="16" xfId="4" applyNumberFormat="1" applyFont="1" applyFill="1" applyBorder="1" applyAlignment="1">
      <alignment horizontal="center" vertical="center" wrapText="1"/>
    </xf>
    <xf numFmtId="166" fontId="11" fillId="0" borderId="25" xfId="4" applyNumberFormat="1" applyFont="1" applyFill="1" applyBorder="1" applyAlignment="1">
      <alignment horizontal="center" vertical="center"/>
    </xf>
    <xf numFmtId="166" fontId="11" fillId="0" borderId="25" xfId="4" applyNumberFormat="1" applyFont="1" applyFill="1" applyBorder="1" applyAlignment="1">
      <alignment horizontal="center" vertical="center" wrapText="1"/>
    </xf>
    <xf numFmtId="166" fontId="7" fillId="0" borderId="25" xfId="4" applyNumberFormat="1" applyFont="1" applyFill="1" applyBorder="1" applyAlignment="1">
      <alignment horizontal="center" vertical="center" wrapText="1"/>
    </xf>
    <xf numFmtId="166" fontId="9" fillId="0" borderId="25" xfId="4" applyNumberFormat="1" applyFont="1" applyFill="1" applyBorder="1" applyAlignment="1">
      <alignment horizontal="center" vertical="center" wrapText="1"/>
    </xf>
    <xf numFmtId="165" fontId="11" fillId="0" borderId="25" xfId="5" applyNumberFormat="1" applyFont="1" applyFill="1" applyBorder="1" applyAlignment="1">
      <alignment horizontal="right" vertical="top"/>
    </xf>
    <xf numFmtId="166" fontId="11" fillId="0" borderId="25" xfId="4" applyNumberFormat="1" applyFont="1" applyFill="1" applyBorder="1" applyAlignment="1">
      <alignment horizontal="right" vertical="center" wrapText="1"/>
    </xf>
    <xf numFmtId="166" fontId="11" fillId="0" borderId="25" xfId="4" applyNumberFormat="1" applyFont="1" applyFill="1" applyBorder="1" applyAlignment="1">
      <alignment horizontal="right" vertical="center"/>
    </xf>
    <xf numFmtId="166" fontId="11" fillId="0" borderId="39" xfId="4" applyNumberFormat="1" applyFont="1" applyFill="1" applyBorder="1" applyAlignment="1">
      <alignment horizontal="center" vertical="center" wrapText="1"/>
    </xf>
    <xf numFmtId="166" fontId="7" fillId="0" borderId="39" xfId="4" applyNumberFormat="1" applyFont="1" applyFill="1" applyBorder="1" applyAlignment="1">
      <alignment horizontal="center" vertical="center" wrapText="1"/>
    </xf>
    <xf numFmtId="166" fontId="13" fillId="0" borderId="25" xfId="4" applyNumberFormat="1" applyFont="1" applyFill="1" applyBorder="1" applyAlignment="1">
      <alignment horizontal="center" vertical="center" wrapText="1"/>
    </xf>
    <xf numFmtId="166" fontId="7" fillId="0" borderId="25" xfId="4" applyNumberFormat="1" applyFont="1" applyFill="1" applyBorder="1" applyAlignment="1">
      <alignment horizontal="center" vertical="center"/>
    </xf>
    <xf numFmtId="166" fontId="17" fillId="0" borderId="25" xfId="4" applyNumberFormat="1" applyFont="1" applyFill="1" applyBorder="1" applyAlignment="1">
      <alignment horizontal="center" vertical="center"/>
    </xf>
    <xf numFmtId="166" fontId="14" fillId="0" borderId="25" xfId="4" applyNumberFormat="1" applyFont="1" applyFill="1" applyBorder="1" applyAlignment="1">
      <alignment horizontal="center" vertical="center"/>
    </xf>
    <xf numFmtId="4" fontId="7" fillId="0" borderId="25" xfId="5" applyNumberFormat="1" applyFont="1" applyFill="1" applyBorder="1" applyAlignment="1">
      <alignment horizontal="right" vertical="center" wrapText="1"/>
    </xf>
    <xf numFmtId="166" fontId="7" fillId="0" borderId="25" xfId="4" applyNumberFormat="1" applyFont="1" applyFill="1" applyBorder="1" applyAlignment="1">
      <alignment horizontal="right" vertical="center" wrapText="1"/>
    </xf>
    <xf numFmtId="165" fontId="13" fillId="2" borderId="43" xfId="5" applyNumberFormat="1" applyFont="1" applyFill="1" applyBorder="1" applyAlignment="1">
      <alignment horizontal="right" vertical="top"/>
    </xf>
    <xf numFmtId="165" fontId="9" fillId="5" borderId="16" xfId="3" applyNumberFormat="1" applyFont="1" applyFill="1" applyBorder="1" applyAlignment="1">
      <alignment horizontal="right" vertical="center"/>
    </xf>
    <xf numFmtId="165" fontId="11" fillId="0" borderId="39" xfId="12" applyNumberFormat="1" applyFont="1" applyFill="1" applyBorder="1" applyAlignment="1">
      <alignment horizontal="right" vertical="center" wrapText="1"/>
    </xf>
    <xf numFmtId="165" fontId="11" fillId="0" borderId="25" xfId="12" applyNumberFormat="1" applyFont="1" applyFill="1" applyBorder="1" applyAlignment="1">
      <alignment horizontal="right" vertical="center" wrapText="1"/>
    </xf>
    <xf numFmtId="165" fontId="7" fillId="0" borderId="29" xfId="5" applyNumberFormat="1" applyFont="1" applyFill="1" applyBorder="1" applyAlignment="1">
      <alignment horizontal="right" vertical="center"/>
    </xf>
    <xf numFmtId="165" fontId="17" fillId="0" borderId="29" xfId="5" applyNumberFormat="1" applyFont="1" applyFill="1" applyBorder="1" applyAlignment="1">
      <alignment horizontal="right" vertical="center"/>
    </xf>
    <xf numFmtId="165" fontId="17" fillId="0" borderId="25" xfId="12" applyNumberFormat="1" applyFont="1" applyFill="1" applyBorder="1" applyAlignment="1">
      <alignment horizontal="right" vertical="center" wrapText="1"/>
    </xf>
    <xf numFmtId="165" fontId="11" fillId="0" borderId="29" xfId="12" applyNumberFormat="1" applyFont="1" applyFill="1" applyBorder="1" applyAlignment="1">
      <alignment horizontal="right" vertical="center" wrapText="1"/>
    </xf>
    <xf numFmtId="165" fontId="13" fillId="2" borderId="29" xfId="3" applyNumberFormat="1" applyFont="1" applyFill="1" applyBorder="1" applyAlignment="1">
      <alignment horizontal="right" vertical="center" wrapText="1"/>
    </xf>
    <xf numFmtId="165" fontId="9" fillId="5" borderId="16" xfId="3" applyNumberFormat="1" applyFont="1" applyFill="1" applyBorder="1" applyAlignment="1">
      <alignment horizontal="right" vertical="center" wrapText="1"/>
    </xf>
    <xf numFmtId="165" fontId="11" fillId="2" borderId="25" xfId="3" applyNumberFormat="1" applyFont="1" applyFill="1" applyBorder="1" applyAlignment="1">
      <alignment horizontal="right" vertical="center"/>
    </xf>
    <xf numFmtId="165" fontId="13" fillId="2" borderId="29" xfId="3" applyNumberFormat="1" applyFont="1" applyFill="1" applyBorder="1" applyAlignment="1">
      <alignment horizontal="right" vertical="center"/>
    </xf>
    <xf numFmtId="165" fontId="9" fillId="5" borderId="16" xfId="1" applyNumberFormat="1" applyFont="1" applyFill="1" applyBorder="1" applyAlignment="1">
      <alignment horizontal="right" vertical="center" wrapText="1"/>
    </xf>
    <xf numFmtId="165" fontId="11" fillId="0" borderId="39" xfId="1" applyNumberFormat="1" applyFont="1" applyFill="1" applyBorder="1" applyAlignment="1">
      <alignment horizontal="right" vertical="center" wrapText="1"/>
    </xf>
    <xf numFmtId="165" fontId="11" fillId="0" borderId="25" xfId="1" applyNumberFormat="1" applyFont="1" applyFill="1" applyBorder="1" applyAlignment="1">
      <alignment horizontal="right" vertical="center" wrapText="1"/>
    </xf>
    <xf numFmtId="165" fontId="7" fillId="0" borderId="25" xfId="1" applyNumberFormat="1" applyFont="1" applyFill="1" applyBorder="1" applyAlignment="1">
      <alignment horizontal="right" vertical="center" wrapText="1"/>
    </xf>
    <xf numFmtId="165" fontId="18" fillId="2" borderId="29" xfId="1" applyNumberFormat="1" applyFont="1" applyFill="1" applyBorder="1" applyAlignment="1">
      <alignment horizontal="right" vertical="center" wrapText="1"/>
    </xf>
    <xf numFmtId="165" fontId="11" fillId="0" borderId="36" xfId="3" applyNumberFormat="1" applyFont="1" applyFill="1" applyBorder="1" applyAlignment="1">
      <alignment horizontal="right" vertical="center" wrapText="1"/>
    </xf>
    <xf numFmtId="165" fontId="7" fillId="0" borderId="39" xfId="5" applyNumberFormat="1" applyFont="1" applyFill="1" applyBorder="1" applyAlignment="1">
      <alignment horizontal="right" vertical="center" wrapText="1"/>
    </xf>
    <xf numFmtId="165" fontId="11" fillId="0" borderId="39" xfId="3" applyNumberFormat="1" applyFont="1" applyFill="1" applyBorder="1" applyAlignment="1">
      <alignment horizontal="right" vertical="center" wrapText="1"/>
    </xf>
    <xf numFmtId="165" fontId="11" fillId="0" borderId="25" xfId="5" applyNumberFormat="1" applyFont="1" applyFill="1" applyBorder="1" applyAlignment="1">
      <alignment horizontal="right" vertical="center" wrapText="1"/>
    </xf>
    <xf numFmtId="165" fontId="13" fillId="2" borderId="43" xfId="12" applyNumberFormat="1" applyFont="1" applyFill="1" applyBorder="1" applyAlignment="1">
      <alignment horizontal="right" vertical="center" wrapText="1"/>
    </xf>
    <xf numFmtId="165" fontId="11" fillId="0" borderId="29" xfId="5" applyNumberFormat="1" applyFont="1" applyFill="1" applyBorder="1" applyAlignment="1">
      <alignment horizontal="right" vertical="top"/>
    </xf>
    <xf numFmtId="165" fontId="11" fillId="0" borderId="25" xfId="5" applyNumberFormat="1" applyFont="1" applyFill="1" applyBorder="1" applyAlignment="1">
      <alignment horizontal="right" vertical="center"/>
    </xf>
    <xf numFmtId="165" fontId="13" fillId="0" borderId="43" xfId="3" applyNumberFormat="1" applyFont="1" applyFill="1" applyBorder="1" applyAlignment="1">
      <alignment horizontal="right" vertical="center" wrapText="1"/>
    </xf>
    <xf numFmtId="165" fontId="7" fillId="0" borderId="39" xfId="3" applyNumberFormat="1" applyFont="1" applyFill="1" applyBorder="1" applyAlignment="1">
      <alignment horizontal="right" vertical="center" wrapText="1"/>
    </xf>
    <xf numFmtId="165" fontId="7" fillId="0" borderId="25" xfId="3" applyNumberFormat="1" applyFont="1" applyFill="1" applyBorder="1" applyAlignment="1">
      <alignment horizontal="right" vertical="center" wrapText="1"/>
    </xf>
    <xf numFmtId="165" fontId="11" fillId="0" borderId="25" xfId="3" applyNumberFormat="1" applyFont="1" applyFill="1" applyBorder="1" applyAlignment="1">
      <alignment horizontal="right" vertical="center" wrapText="1"/>
    </xf>
    <xf numFmtId="165" fontId="11" fillId="0" borderId="29" xfId="3" applyNumberFormat="1" applyFont="1" applyFill="1" applyBorder="1" applyAlignment="1">
      <alignment horizontal="right" vertical="center" wrapText="1"/>
    </xf>
    <xf numFmtId="165" fontId="11" fillId="2" borderId="25" xfId="3" applyNumberFormat="1" applyFont="1" applyFill="1" applyBorder="1" applyAlignment="1">
      <alignment horizontal="right" vertical="center" wrapText="1"/>
    </xf>
    <xf numFmtId="165" fontId="11" fillId="2" borderId="29" xfId="3" applyNumberFormat="1" applyFont="1" applyFill="1" applyBorder="1" applyAlignment="1">
      <alignment horizontal="right" vertical="center" wrapText="1"/>
    </xf>
    <xf numFmtId="165" fontId="7" fillId="2" borderId="25" xfId="3" applyNumberFormat="1" applyFont="1" applyFill="1" applyBorder="1" applyAlignment="1">
      <alignment horizontal="right" vertical="center" wrapText="1"/>
    </xf>
    <xf numFmtId="165" fontId="13" fillId="2" borderId="56" xfId="3" applyNumberFormat="1" applyFont="1" applyFill="1" applyBorder="1" applyAlignment="1">
      <alignment horizontal="right" vertical="center" wrapText="1"/>
    </xf>
    <xf numFmtId="0" fontId="13" fillId="2" borderId="43" xfId="1" quotePrefix="1" applyFont="1" applyFill="1" applyBorder="1" applyAlignment="1">
      <alignment horizontal="center" vertical="center" wrapText="1"/>
    </xf>
    <xf numFmtId="0" fontId="13" fillId="2" borderId="45" xfId="1" quotePrefix="1" applyFont="1" applyFill="1" applyBorder="1" applyAlignment="1">
      <alignment horizontal="center" vertical="center" wrapText="1"/>
    </xf>
    <xf numFmtId="0" fontId="11" fillId="2" borderId="25" xfId="1" applyFont="1" applyFill="1" applyBorder="1" applyAlignment="1">
      <alignment vertical="center" wrapText="1"/>
    </xf>
    <xf numFmtId="0" fontId="11" fillId="0" borderId="24" xfId="5" applyFont="1" applyFill="1" applyBorder="1" applyAlignment="1">
      <alignment horizontal="left" vertical="center" wrapText="1"/>
    </xf>
    <xf numFmtId="0" fontId="11" fillId="2" borderId="43" xfId="1" quotePrefix="1" applyFont="1" applyFill="1" applyBorder="1" applyAlignment="1">
      <alignment horizontal="center" vertical="center" wrapText="1"/>
    </xf>
    <xf numFmtId="0" fontId="7" fillId="6" borderId="26" xfId="5" applyFont="1" applyFill="1" applyBorder="1" applyAlignment="1">
      <alignment vertical="center" wrapText="1"/>
    </xf>
    <xf numFmtId="0" fontId="7" fillId="6" borderId="27" xfId="5" applyFont="1" applyFill="1" applyBorder="1" applyAlignment="1">
      <alignment vertical="center" wrapText="1"/>
    </xf>
    <xf numFmtId="3" fontId="11" fillId="0" borderId="24" xfId="1" applyNumberFormat="1" applyFont="1" applyFill="1" applyBorder="1" applyAlignment="1">
      <alignment horizontal="left" vertical="center" wrapText="1"/>
    </xf>
    <xf numFmtId="0" fontId="20" fillId="2" borderId="0" xfId="1" applyNumberFormat="1" applyFont="1" applyFill="1" applyBorder="1" applyAlignment="1">
      <alignment horizontal="center" vertical="center"/>
    </xf>
    <xf numFmtId="0" fontId="20" fillId="2" borderId="0" xfId="1" applyNumberFormat="1" applyFont="1" applyFill="1" applyBorder="1" applyAlignment="1">
      <alignment horizontal="left"/>
    </xf>
    <xf numFmtId="0" fontId="11" fillId="7" borderId="41" xfId="1" applyFont="1" applyFill="1" applyBorder="1" applyAlignment="1">
      <alignment horizontal="center" vertical="center"/>
    </xf>
    <xf numFmtId="0" fontId="11" fillId="7" borderId="28" xfId="1" quotePrefix="1" applyFont="1" applyFill="1" applyBorder="1" applyAlignment="1">
      <alignment horizontal="center" vertical="center" wrapText="1"/>
    </xf>
    <xf numFmtId="0" fontId="11" fillId="7" borderId="25" xfId="1" applyFont="1" applyFill="1" applyBorder="1" applyAlignment="1">
      <alignment vertical="center" wrapText="1"/>
    </xf>
    <xf numFmtId="9" fontId="7" fillId="7" borderId="28" xfId="8" applyFont="1" applyFill="1" applyBorder="1" applyAlignment="1">
      <alignment horizontal="center" vertical="center" wrapText="1"/>
    </xf>
    <xf numFmtId="165" fontId="11" fillId="7" borderId="29" xfId="5" applyNumberFormat="1" applyFont="1" applyFill="1" applyBorder="1" applyAlignment="1">
      <alignment horizontal="right" vertical="center" wrapText="1"/>
    </xf>
    <xf numFmtId="165" fontId="11" fillId="7" borderId="42" xfId="5" applyNumberFormat="1" applyFont="1" applyFill="1" applyBorder="1" applyAlignment="1">
      <alignment horizontal="right" vertical="center" wrapText="1"/>
    </xf>
    <xf numFmtId="0" fontId="11" fillId="7" borderId="28" xfId="11" applyNumberFormat="1" applyFont="1" applyFill="1" applyBorder="1" applyAlignment="1">
      <alignment horizontal="justify" vertical="center"/>
    </xf>
    <xf numFmtId="165" fontId="11" fillId="7" borderId="28" xfId="12" applyFont="1" applyFill="1" applyBorder="1" applyAlignment="1">
      <alignment horizontal="center" vertical="center" wrapText="1"/>
    </xf>
    <xf numFmtId="165" fontId="11" fillId="7" borderId="29" xfId="12" applyNumberFormat="1" applyFont="1" applyFill="1" applyBorder="1" applyAlignment="1">
      <alignment horizontal="right" vertical="center" wrapText="1"/>
    </xf>
    <xf numFmtId="165" fontId="11" fillId="7" borderId="42" xfId="12" applyNumberFormat="1" applyFont="1" applyFill="1" applyBorder="1" applyAlignment="1">
      <alignment horizontal="right" vertical="center" wrapText="1"/>
    </xf>
    <xf numFmtId="0" fontId="11" fillId="7" borderId="24" xfId="10" applyNumberFormat="1" applyFont="1" applyFill="1" applyBorder="1" applyAlignment="1">
      <alignment horizontal="justify" vertical="center"/>
    </xf>
    <xf numFmtId="165" fontId="11" fillId="7" borderId="24" xfId="12" applyFont="1" applyFill="1" applyBorder="1" applyAlignment="1">
      <alignment horizontal="center" vertical="center" wrapText="1"/>
    </xf>
    <xf numFmtId="165" fontId="11" fillId="7" borderId="25" xfId="12" applyNumberFormat="1" applyFont="1" applyFill="1" applyBorder="1" applyAlignment="1">
      <alignment horizontal="right" vertical="center" wrapText="1"/>
    </xf>
    <xf numFmtId="165" fontId="11" fillId="7" borderId="30" xfId="12" applyNumberFormat="1" applyFont="1" applyFill="1" applyBorder="1" applyAlignment="1">
      <alignment horizontal="right" vertical="center" wrapText="1"/>
    </xf>
    <xf numFmtId="0" fontId="11" fillId="7" borderId="25" xfId="1" quotePrefix="1" applyFont="1" applyFill="1" applyBorder="1" applyAlignment="1">
      <alignment horizontal="center" vertical="center" wrapText="1"/>
    </xf>
    <xf numFmtId="0" fontId="11" fillId="7" borderId="24" xfId="5" applyFont="1" applyFill="1" applyBorder="1" applyAlignment="1">
      <alignment vertical="center" wrapText="1"/>
    </xf>
    <xf numFmtId="167" fontId="11" fillId="7" borderId="24" xfId="5" applyNumberFormat="1" applyFont="1" applyFill="1" applyBorder="1" applyAlignment="1">
      <alignment horizontal="center" vertical="center"/>
    </xf>
    <xf numFmtId="166" fontId="11" fillId="7" borderId="25" xfId="4" applyNumberFormat="1" applyFont="1" applyFill="1" applyBorder="1" applyAlignment="1">
      <alignment horizontal="center" vertical="center" wrapText="1"/>
    </xf>
    <xf numFmtId="166" fontId="11" fillId="7" borderId="30" xfId="4" applyNumberFormat="1" applyFont="1" applyFill="1" applyBorder="1" applyAlignment="1">
      <alignment horizontal="center" vertical="center" wrapText="1"/>
    </xf>
    <xf numFmtId="166" fontId="7" fillId="7" borderId="30" xfId="4" applyNumberFormat="1" applyFont="1" applyFill="1" applyBorder="1" applyAlignment="1">
      <alignment horizontal="center" vertical="center"/>
    </xf>
    <xf numFmtId="0" fontId="15" fillId="0" borderId="0" xfId="1" applyFont="1" applyFill="1" applyAlignment="1">
      <alignment horizontal="center" vertical="center"/>
    </xf>
    <xf numFmtId="0" fontId="7" fillId="0" borderId="25" xfId="5" quotePrefix="1" applyFont="1" applyBorder="1" applyAlignment="1">
      <alignment horizontal="left" vertical="top" wrapText="1" indent="1"/>
    </xf>
    <xf numFmtId="2" fontId="7" fillId="0" borderId="34" xfId="1" quotePrefix="1" applyNumberFormat="1" applyFont="1" applyBorder="1" applyAlignment="1">
      <alignment horizontal="center" vertical="center" wrapText="1"/>
    </xf>
    <xf numFmtId="0" fontId="7" fillId="0" borderId="25" xfId="5" quotePrefix="1" applyFont="1" applyBorder="1" applyAlignment="1">
      <alignment horizontal="left" vertical="center" wrapText="1" indent="1"/>
    </xf>
    <xf numFmtId="0" fontId="11" fillId="7" borderId="24" xfId="5" applyFont="1" applyFill="1" applyBorder="1" applyAlignment="1">
      <alignment horizontal="left" vertical="center" wrapText="1"/>
    </xf>
    <xf numFmtId="166" fontId="11" fillId="7" borderId="25" xfId="4" applyNumberFormat="1" applyFont="1" applyFill="1" applyBorder="1" applyAlignment="1">
      <alignment horizontal="center" vertical="center"/>
    </xf>
    <xf numFmtId="166" fontId="11" fillId="7" borderId="30" xfId="4" applyNumberFormat="1" applyFont="1" applyFill="1" applyBorder="1" applyAlignment="1">
      <alignment horizontal="center" vertical="center"/>
    </xf>
    <xf numFmtId="167" fontId="11" fillId="7" borderId="24" xfId="4" applyNumberFormat="1" applyFont="1" applyFill="1" applyBorder="1" applyAlignment="1">
      <alignment horizontal="center" vertical="center"/>
    </xf>
    <xf numFmtId="166" fontId="11" fillId="7" borderId="25" xfId="4" applyNumberFormat="1" applyFont="1" applyFill="1" applyBorder="1" applyAlignment="1">
      <alignment horizontal="right" vertical="center" wrapText="1"/>
    </xf>
    <xf numFmtId="166" fontId="11" fillId="7" borderId="30" xfId="4" applyNumberFormat="1" applyFont="1" applyFill="1" applyBorder="1" applyAlignment="1">
      <alignment horizontal="right" vertical="center" wrapText="1"/>
    </xf>
    <xf numFmtId="165" fontId="22" fillId="2" borderId="28" xfId="12" applyFont="1" applyFill="1" applyBorder="1" applyAlignment="1">
      <alignment horizontal="center" vertical="center" wrapText="1"/>
    </xf>
    <xf numFmtId="0" fontId="11" fillId="7" borderId="41" xfId="1" quotePrefix="1" applyFont="1" applyFill="1" applyBorder="1" applyAlignment="1">
      <alignment horizontal="center" vertical="center"/>
    </xf>
    <xf numFmtId="0" fontId="11" fillId="7" borderId="29" xfId="14" applyFont="1" applyFill="1" applyBorder="1" applyAlignment="1">
      <alignment horizontal="left" vertical="center" wrapText="1"/>
    </xf>
    <xf numFmtId="0" fontId="11" fillId="7" borderId="28" xfId="14" applyFont="1" applyFill="1" applyBorder="1" applyAlignment="1">
      <alignment horizontal="center" vertical="center"/>
    </xf>
    <xf numFmtId="165" fontId="11" fillId="7" borderId="29" xfId="3" applyNumberFormat="1" applyFont="1" applyFill="1" applyBorder="1" applyAlignment="1">
      <alignment horizontal="right" vertical="center"/>
    </xf>
    <xf numFmtId="165" fontId="11" fillId="7" borderId="42" xfId="3" applyNumberFormat="1" applyFont="1" applyFill="1" applyBorder="1" applyAlignment="1">
      <alignment horizontal="right" vertical="center"/>
    </xf>
    <xf numFmtId="0" fontId="11" fillId="7" borderId="24" xfId="14" applyFont="1" applyFill="1" applyBorder="1" applyAlignment="1">
      <alignment horizontal="center" vertical="center"/>
    </xf>
    <xf numFmtId="0" fontId="7" fillId="2" borderId="25" xfId="1" applyFont="1" applyFill="1" applyBorder="1" applyAlignment="1">
      <alignment horizontal="right" vertical="center" wrapText="1"/>
    </xf>
    <xf numFmtId="0" fontId="9" fillId="0" borderId="17" xfId="6" applyNumberFormat="1" applyFont="1" applyFill="1" applyBorder="1" applyAlignment="1">
      <alignment horizontal="left" vertical="center" wrapText="1"/>
    </xf>
    <xf numFmtId="4" fontId="9" fillId="0" borderId="16" xfId="5" applyNumberFormat="1" applyFont="1" applyFill="1" applyBorder="1" applyAlignment="1">
      <alignment horizontal="right" vertical="center" wrapText="1"/>
    </xf>
    <xf numFmtId="4" fontId="9" fillId="0" borderId="11" xfId="5" applyNumberFormat="1" applyFont="1" applyFill="1" applyBorder="1" applyAlignment="1">
      <alignment horizontal="right" vertical="center" wrapText="1"/>
    </xf>
    <xf numFmtId="164" fontId="9" fillId="0" borderId="11" xfId="5" applyNumberFormat="1" applyFont="1" applyFill="1" applyBorder="1" applyAlignment="1">
      <alignment horizontal="center" vertical="center" wrapText="1"/>
    </xf>
    <xf numFmtId="0" fontId="11" fillId="0" borderId="11" xfId="5" applyFont="1" applyFill="1" applyBorder="1" applyAlignment="1">
      <alignment vertical="center"/>
    </xf>
    <xf numFmtId="0" fontId="23" fillId="0" borderId="0" xfId="1" applyFont="1" applyFill="1" applyAlignment="1">
      <alignment horizontal="center" vertical="center"/>
    </xf>
    <xf numFmtId="4" fontId="11" fillId="0" borderId="16" xfId="5" applyNumberFormat="1" applyFont="1" applyFill="1" applyBorder="1" applyAlignment="1">
      <alignment horizontal="right" vertical="center" wrapText="1"/>
    </xf>
    <xf numFmtId="4" fontId="11" fillId="0" borderId="11" xfId="5" applyNumberFormat="1" applyFont="1" applyFill="1" applyBorder="1" applyAlignment="1">
      <alignment horizontal="right" vertical="center" wrapText="1"/>
    </xf>
    <xf numFmtId="164" fontId="11" fillId="0" borderId="11" xfId="5" applyNumberFormat="1" applyFont="1" applyFill="1" applyBorder="1" applyAlignment="1">
      <alignment horizontal="center" vertical="center" wrapText="1"/>
    </xf>
    <xf numFmtId="164" fontId="11" fillId="0" borderId="11" xfId="5" applyNumberFormat="1" applyFont="1" applyFill="1" applyBorder="1" applyAlignment="1">
      <alignment vertical="center" wrapText="1"/>
    </xf>
    <xf numFmtId="41" fontId="11" fillId="0" borderId="0" xfId="15" applyFont="1" applyFill="1" applyAlignment="1">
      <alignment vertical="center"/>
    </xf>
    <xf numFmtId="165" fontId="11" fillId="0" borderId="16" xfId="3" applyNumberFormat="1" applyFont="1" applyFill="1" applyBorder="1" applyAlignment="1">
      <alignment horizontal="right" vertical="center"/>
    </xf>
    <xf numFmtId="165" fontId="11" fillId="0" borderId="11" xfId="3" applyNumberFormat="1" applyFont="1" applyFill="1" applyBorder="1" applyAlignment="1">
      <alignment horizontal="right" vertical="center"/>
    </xf>
    <xf numFmtId="164" fontId="11" fillId="0" borderId="11" xfId="4" applyFont="1" applyFill="1" applyBorder="1" applyAlignment="1">
      <alignment horizontal="center" vertical="center"/>
    </xf>
    <xf numFmtId="165" fontId="11" fillId="0" borderId="16" xfId="3" applyNumberFormat="1" applyFont="1" applyFill="1" applyBorder="1" applyAlignment="1">
      <alignment horizontal="right" vertical="center" wrapText="1"/>
    </xf>
    <xf numFmtId="165" fontId="11" fillId="0" borderId="11" xfId="3" applyNumberFormat="1" applyFont="1" applyFill="1" applyBorder="1" applyAlignment="1">
      <alignment horizontal="right" vertical="center" wrapText="1"/>
    </xf>
    <xf numFmtId="0" fontId="11" fillId="0" borderId="11" xfId="1" applyFont="1" applyFill="1" applyBorder="1" applyAlignment="1">
      <alignment horizontal="center" vertical="center" wrapText="1"/>
    </xf>
    <xf numFmtId="165" fontId="11" fillId="0" borderId="16" xfId="1" applyNumberFormat="1" applyFont="1" applyFill="1" applyBorder="1" applyAlignment="1">
      <alignment horizontal="right" vertical="center" wrapText="1"/>
    </xf>
    <xf numFmtId="165" fontId="11" fillId="0" borderId="11" xfId="1" applyNumberFormat="1" applyFont="1" applyFill="1" applyBorder="1" applyAlignment="1">
      <alignment horizontal="right" vertical="center" wrapText="1"/>
    </xf>
    <xf numFmtId="0" fontId="11" fillId="0" borderId="11" xfId="9" applyFont="1" applyFill="1" applyBorder="1" applyAlignment="1">
      <alignment vertical="center" wrapText="1"/>
    </xf>
    <xf numFmtId="164" fontId="11" fillId="0" borderId="11" xfId="1" applyNumberFormat="1" applyFont="1" applyFill="1" applyBorder="1" applyAlignment="1">
      <alignment vertical="center" wrapText="1"/>
    </xf>
    <xf numFmtId="9" fontId="11" fillId="0" borderId="11" xfId="14" applyNumberFormat="1" applyFont="1" applyFill="1" applyBorder="1" applyAlignment="1">
      <alignment vertical="center"/>
    </xf>
    <xf numFmtId="165" fontId="11" fillId="0" borderId="64" xfId="3" applyNumberFormat="1" applyFont="1" applyFill="1" applyBorder="1" applyAlignment="1">
      <alignment horizontal="right" vertical="center" wrapText="1"/>
    </xf>
    <xf numFmtId="165" fontId="11" fillId="0" borderId="66" xfId="3" applyNumberFormat="1" applyFont="1" applyFill="1" applyBorder="1" applyAlignment="1">
      <alignment horizontal="right" vertical="center" wrapText="1"/>
    </xf>
    <xf numFmtId="0" fontId="11" fillId="0" borderId="28" xfId="6" applyNumberFormat="1" applyFont="1" applyFill="1" applyBorder="1" applyAlignment="1">
      <alignment horizontal="left" vertical="center" wrapText="1"/>
    </xf>
    <xf numFmtId="9" fontId="11" fillId="0" borderId="24" xfId="5" applyNumberFormat="1" applyFont="1" applyFill="1" applyBorder="1" applyAlignment="1">
      <alignment horizontal="center" vertical="center" wrapText="1"/>
    </xf>
    <xf numFmtId="9" fontId="11" fillId="0" borderId="30" xfId="5" applyNumberFormat="1" applyFont="1" applyFill="1" applyBorder="1" applyAlignment="1">
      <alignment horizontal="center" vertical="center" wrapText="1"/>
    </xf>
    <xf numFmtId="0" fontId="11" fillId="0" borderId="24" xfId="5" quotePrefix="1" applyFont="1" applyFill="1" applyBorder="1" applyAlignment="1">
      <alignment vertical="center" wrapText="1"/>
    </xf>
    <xf numFmtId="0" fontId="11" fillId="0" borderId="25" xfId="1" quotePrefix="1" applyFont="1" applyFill="1" applyBorder="1" applyAlignment="1">
      <alignment horizontal="center" vertical="center" wrapText="1"/>
    </xf>
    <xf numFmtId="0" fontId="7" fillId="0" borderId="24" xfId="5" applyFont="1" applyFill="1" applyBorder="1" applyAlignment="1">
      <alignment horizontal="center" vertical="center" wrapText="1"/>
    </xf>
    <xf numFmtId="0" fontId="7" fillId="0" borderId="25" xfId="5" applyFont="1" applyFill="1" applyBorder="1" applyAlignment="1">
      <alignment horizontal="left" vertical="center" wrapText="1" indent="1"/>
    </xf>
    <xf numFmtId="2" fontId="7" fillId="0" borderId="24" xfId="5" applyNumberFormat="1" applyFont="1" applyFill="1" applyBorder="1" applyAlignment="1">
      <alignment vertical="center" wrapText="1"/>
    </xf>
    <xf numFmtId="0" fontId="7" fillId="0" borderId="25" xfId="5" applyFont="1" applyFill="1" applyBorder="1" applyAlignment="1">
      <alignment horizontal="left" vertical="top" wrapText="1" indent="1"/>
    </xf>
    <xf numFmtId="0" fontId="7" fillId="0" borderId="25" xfId="5" applyFont="1" applyFill="1" applyBorder="1" applyAlignment="1">
      <alignment horizontal="center" vertical="center" wrapText="1"/>
    </xf>
    <xf numFmtId="0" fontId="7" fillId="0" borderId="25" xfId="5" quotePrefix="1" applyFont="1" applyFill="1" applyBorder="1" applyAlignment="1">
      <alignment horizontal="left" vertical="center" wrapText="1" indent="1"/>
    </xf>
    <xf numFmtId="167" fontId="11" fillId="0" borderId="24" xfId="4" applyNumberFormat="1" applyFont="1" applyFill="1" applyBorder="1" applyAlignment="1">
      <alignment horizontal="center" vertical="center"/>
    </xf>
    <xf numFmtId="0" fontId="7" fillId="0" borderId="25" xfId="5" quotePrefix="1" applyFont="1" applyFill="1" applyBorder="1" applyAlignment="1">
      <alignment horizontal="left" vertical="top" wrapText="1" indent="1"/>
    </xf>
    <xf numFmtId="2" fontId="7" fillId="0" borderId="34" xfId="1" quotePrefix="1" applyNumberFormat="1" applyFont="1" applyFill="1" applyBorder="1" applyAlignment="1">
      <alignment horizontal="center" vertical="center" wrapText="1"/>
    </xf>
    <xf numFmtId="0" fontId="11" fillId="0" borderId="28" xfId="1" quotePrefix="1" applyFont="1" applyFill="1" applyBorder="1" applyAlignment="1">
      <alignment horizontal="center" vertical="center" wrapText="1"/>
    </xf>
    <xf numFmtId="0" fontId="11" fillId="0" borderId="28" xfId="11" applyNumberFormat="1" applyFont="1" applyFill="1" applyBorder="1" applyAlignment="1">
      <alignment horizontal="justify" vertical="center"/>
    </xf>
    <xf numFmtId="165" fontId="11" fillId="0" borderId="28" xfId="12" applyFont="1" applyFill="1" applyBorder="1" applyAlignment="1">
      <alignment horizontal="center" vertical="center" wrapText="1"/>
    </xf>
    <xf numFmtId="165" fontId="11" fillId="0" borderId="30" xfId="12" applyFont="1" applyFill="1" applyBorder="1" applyAlignment="1">
      <alignment horizontal="center" vertical="center" wrapText="1"/>
    </xf>
    <xf numFmtId="0" fontId="11" fillId="0" borderId="24" xfId="10" applyNumberFormat="1" applyFont="1" applyFill="1" applyBorder="1" applyAlignment="1">
      <alignment horizontal="justify" vertical="center"/>
    </xf>
    <xf numFmtId="165" fontId="11" fillId="0" borderId="24" xfId="12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11" fillId="0" borderId="41" xfId="1" applyFont="1" applyFill="1" applyBorder="1" applyAlignment="1">
      <alignment horizontal="center" vertical="center"/>
    </xf>
    <xf numFmtId="0" fontId="11" fillId="0" borderId="25" xfId="1" applyFont="1" applyFill="1" applyBorder="1" applyAlignment="1">
      <alignment vertical="center" wrapText="1"/>
    </xf>
    <xf numFmtId="9" fontId="7" fillId="0" borderId="28" xfId="8" applyFont="1" applyFill="1" applyBorder="1" applyAlignment="1">
      <alignment horizontal="center" vertical="center" wrapText="1"/>
    </xf>
    <xf numFmtId="9" fontId="7" fillId="0" borderId="42" xfId="8" applyFont="1" applyFill="1" applyBorder="1" applyAlignment="1">
      <alignment vertical="center" wrapText="1"/>
    </xf>
    <xf numFmtId="0" fontId="7" fillId="0" borderId="0" xfId="1" applyFont="1" applyFill="1" applyAlignment="1">
      <alignment vertical="center" wrapText="1"/>
    </xf>
    <xf numFmtId="0" fontId="11" fillId="0" borderId="41" xfId="1" quotePrefix="1" applyFont="1" applyFill="1" applyBorder="1" applyAlignment="1">
      <alignment horizontal="center" vertical="center"/>
    </xf>
    <xf numFmtId="0" fontId="11" fillId="0" borderId="29" xfId="14" applyFont="1" applyFill="1" applyBorder="1" applyAlignment="1">
      <alignment horizontal="left" vertical="center" wrapText="1"/>
    </xf>
    <xf numFmtId="0" fontId="11" fillId="0" borderId="28" xfId="14" applyFont="1" applyFill="1" applyBorder="1" applyAlignment="1">
      <alignment horizontal="center" vertical="center"/>
    </xf>
    <xf numFmtId="165" fontId="11" fillId="0" borderId="29" xfId="3" applyNumberFormat="1" applyFont="1" applyFill="1" applyBorder="1" applyAlignment="1">
      <alignment horizontal="right" vertical="center"/>
    </xf>
    <xf numFmtId="165" fontId="11" fillId="0" borderId="42" xfId="3" applyNumberFormat="1" applyFont="1" applyFill="1" applyBorder="1" applyAlignment="1">
      <alignment horizontal="right" vertical="center"/>
    </xf>
    <xf numFmtId="0" fontId="11" fillId="0" borderId="42" xfId="14" applyFont="1" applyFill="1" applyBorder="1" applyAlignment="1">
      <alignment vertical="center"/>
    </xf>
    <xf numFmtId="0" fontId="11" fillId="0" borderId="24" xfId="14" applyFont="1" applyFill="1" applyBorder="1" applyAlignment="1">
      <alignment horizontal="center"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26" fillId="8" borderId="67" xfId="0" applyFont="1" applyFill="1" applyBorder="1" applyAlignment="1">
      <alignment horizontal="center" vertical="center"/>
    </xf>
    <xf numFmtId="0" fontId="26" fillId="8" borderId="5" xfId="0" applyFont="1" applyFill="1" applyBorder="1" applyAlignment="1">
      <alignment horizontal="center" vertical="center"/>
    </xf>
    <xf numFmtId="0" fontId="26" fillId="8" borderId="59" xfId="0" applyFont="1" applyFill="1" applyBorder="1" applyAlignment="1">
      <alignment horizontal="center" vertical="center"/>
    </xf>
    <xf numFmtId="170" fontId="25" fillId="0" borderId="68" xfId="0" applyNumberFormat="1" applyFont="1" applyFill="1" applyBorder="1" applyAlignment="1">
      <alignment horizontal="center" vertical="center" wrapText="1"/>
    </xf>
    <xf numFmtId="0" fontId="25" fillId="0" borderId="69" xfId="0" applyFont="1" applyFill="1" applyBorder="1" applyAlignment="1">
      <alignment horizontal="left" vertical="center" wrapText="1"/>
    </xf>
    <xf numFmtId="0" fontId="27" fillId="0" borderId="69" xfId="0" applyFont="1" applyFill="1" applyBorder="1" applyAlignment="1">
      <alignment horizontal="center" vertical="center" wrapText="1"/>
    </xf>
    <xf numFmtId="164" fontId="27" fillId="0" borderId="69" xfId="16" applyFont="1" applyFill="1" applyBorder="1" applyAlignment="1">
      <alignment horizontal="left" vertical="center" wrapText="1"/>
    </xf>
    <xf numFmtId="0" fontId="25" fillId="0" borderId="70" xfId="0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170" fontId="25" fillId="0" borderId="23" xfId="0" applyNumberFormat="1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left" vertical="center" wrapText="1"/>
    </xf>
    <xf numFmtId="0" fontId="27" fillId="0" borderId="24" xfId="0" applyFont="1" applyFill="1" applyBorder="1" applyAlignment="1">
      <alignment horizontal="center" vertical="center" wrapText="1"/>
    </xf>
    <xf numFmtId="164" fontId="27" fillId="0" borderId="24" xfId="16" applyFont="1" applyFill="1" applyBorder="1" applyAlignment="1">
      <alignment horizontal="left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left" vertical="center" wrapText="1"/>
    </xf>
    <xf numFmtId="171" fontId="26" fillId="8" borderId="76" xfId="0" applyNumberFormat="1" applyFont="1" applyFill="1" applyBorder="1" applyAlignment="1">
      <alignment vertical="center" wrapText="1"/>
    </xf>
    <xf numFmtId="0" fontId="25" fillId="8" borderId="77" xfId="0" applyFont="1" applyFill="1" applyBorder="1" applyAlignment="1">
      <alignment wrapText="1"/>
    </xf>
    <xf numFmtId="171" fontId="25" fillId="0" borderId="0" xfId="0" applyNumberFormat="1" applyFont="1" applyAlignment="1">
      <alignment wrapText="1"/>
    </xf>
    <xf numFmtId="170" fontId="25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3" fontId="25" fillId="0" borderId="0" xfId="0" applyNumberFormat="1" applyFont="1" applyAlignment="1">
      <alignment vertical="center" wrapText="1"/>
    </xf>
    <xf numFmtId="170" fontId="25" fillId="0" borderId="0" xfId="0" applyNumberFormat="1" applyFont="1" applyAlignment="1">
      <alignment horizontal="center" vertical="center"/>
    </xf>
    <xf numFmtId="3" fontId="25" fillId="0" borderId="0" xfId="0" applyNumberFormat="1" applyFont="1" applyAlignment="1">
      <alignment vertical="center"/>
    </xf>
    <xf numFmtId="3" fontId="25" fillId="0" borderId="0" xfId="0" applyNumberFormat="1" applyFont="1"/>
    <xf numFmtId="166" fontId="11" fillId="9" borderId="16" xfId="4" applyNumberFormat="1" applyFont="1" applyFill="1" applyBorder="1" applyAlignment="1">
      <alignment horizontal="right" vertical="center" wrapText="1"/>
    </xf>
    <xf numFmtId="166" fontId="11" fillId="9" borderId="11" xfId="4" applyNumberFormat="1" applyFont="1" applyFill="1" applyBorder="1" applyAlignment="1">
      <alignment horizontal="right" vertical="center" wrapText="1"/>
    </xf>
    <xf numFmtId="165" fontId="11" fillId="9" borderId="16" xfId="3" applyNumberFormat="1" applyFont="1" applyFill="1" applyBorder="1" applyAlignment="1">
      <alignment horizontal="right" vertical="center"/>
    </xf>
    <xf numFmtId="165" fontId="11" fillId="9" borderId="11" xfId="3" applyNumberFormat="1" applyFont="1" applyFill="1" applyBorder="1" applyAlignment="1">
      <alignment horizontal="right" vertical="center"/>
    </xf>
    <xf numFmtId="165" fontId="11" fillId="9" borderId="16" xfId="3" applyNumberFormat="1" applyFont="1" applyFill="1" applyBorder="1" applyAlignment="1">
      <alignment horizontal="right" vertical="center" wrapText="1"/>
    </xf>
    <xf numFmtId="165" fontId="11" fillId="9" borderId="11" xfId="3" applyNumberFormat="1" applyFont="1" applyFill="1" applyBorder="1" applyAlignment="1">
      <alignment horizontal="right" vertical="center" wrapText="1"/>
    </xf>
    <xf numFmtId="3" fontId="11" fillId="0" borderId="34" xfId="1" applyNumberFormat="1" applyFont="1" applyFill="1" applyBorder="1" applyAlignment="1">
      <alignment horizontal="left" vertical="center" wrapText="1"/>
    </xf>
    <xf numFmtId="0" fontId="7" fillId="2" borderId="27" xfId="9" applyFont="1" applyFill="1" applyBorder="1" applyAlignment="1">
      <alignment horizontal="justify" vertical="center"/>
    </xf>
    <xf numFmtId="0" fontId="7" fillId="2" borderId="24" xfId="10" applyNumberFormat="1" applyFont="1" applyFill="1" applyBorder="1" applyAlignment="1">
      <alignment horizontal="justify" vertical="center"/>
    </xf>
    <xf numFmtId="165" fontId="7" fillId="2" borderId="24" xfId="12" applyFont="1" applyFill="1" applyBorder="1" applyAlignment="1">
      <alignment horizontal="center" vertical="center" wrapText="1"/>
    </xf>
    <xf numFmtId="165" fontId="7" fillId="0" borderId="25" xfId="12" applyNumberFormat="1" applyFont="1" applyFill="1" applyBorder="1" applyAlignment="1">
      <alignment horizontal="right" vertical="center" wrapText="1"/>
    </xf>
    <xf numFmtId="165" fontId="7" fillId="0" borderId="30" xfId="12" applyNumberFormat="1" applyFont="1" applyFill="1" applyBorder="1" applyAlignment="1">
      <alignment horizontal="right" vertical="center" wrapText="1"/>
    </xf>
    <xf numFmtId="165" fontId="7" fillId="0" borderId="0" xfId="12" applyNumberFormat="1" applyFont="1" applyFill="1" applyBorder="1" applyAlignment="1">
      <alignment horizontal="right" vertical="center" wrapText="1"/>
    </xf>
    <xf numFmtId="164" fontId="7" fillId="2" borderId="30" xfId="4" applyFont="1" applyFill="1" applyBorder="1" applyAlignment="1">
      <alignment horizontal="center" vertical="center"/>
    </xf>
    <xf numFmtId="165" fontId="7" fillId="0" borderId="0" xfId="12" applyNumberFormat="1" applyFont="1" applyFill="1" applyBorder="1" applyAlignment="1">
      <alignment horizontal="center" vertical="center" wrapText="1"/>
    </xf>
    <xf numFmtId="164" fontId="7" fillId="2" borderId="0" xfId="4" applyFont="1" applyFill="1" applyAlignment="1">
      <alignment vertical="center"/>
    </xf>
    <xf numFmtId="165" fontId="9" fillId="0" borderId="9" xfId="3" applyNumberFormat="1" applyFont="1" applyFill="1" applyBorder="1" applyAlignment="1">
      <alignment horizontal="right" vertical="center"/>
    </xf>
    <xf numFmtId="165" fontId="9" fillId="0" borderId="12" xfId="3" applyNumberFormat="1" applyFont="1" applyFill="1" applyBorder="1" applyAlignment="1">
      <alignment horizontal="right" vertical="center"/>
    </xf>
    <xf numFmtId="0" fontId="11" fillId="7" borderId="24" xfId="5" applyFont="1" applyFill="1" applyBorder="1" applyAlignment="1">
      <alignment horizontal="left" vertical="top" wrapText="1"/>
    </xf>
    <xf numFmtId="9" fontId="11" fillId="7" borderId="24" xfId="5" applyNumberFormat="1" applyFont="1" applyFill="1" applyBorder="1" applyAlignment="1">
      <alignment horizontal="center" vertical="center"/>
    </xf>
    <xf numFmtId="165" fontId="11" fillId="7" borderId="25" xfId="5" applyNumberFormat="1" applyFont="1" applyFill="1" applyBorder="1" applyAlignment="1">
      <alignment horizontal="right" vertical="top"/>
    </xf>
    <xf numFmtId="165" fontId="11" fillId="7" borderId="30" xfId="5" applyNumberFormat="1" applyFont="1" applyFill="1" applyBorder="1" applyAlignment="1">
      <alignment horizontal="right" vertical="top"/>
    </xf>
    <xf numFmtId="0" fontId="11" fillId="7" borderId="35" xfId="1" applyFont="1" applyFill="1" applyBorder="1" applyAlignment="1">
      <alignment horizontal="center" vertical="center"/>
    </xf>
    <xf numFmtId="0" fontId="11" fillId="7" borderId="34" xfId="1" quotePrefix="1" applyFont="1" applyFill="1" applyBorder="1" applyAlignment="1">
      <alignment vertical="center" wrapText="1"/>
    </xf>
    <xf numFmtId="0" fontId="11" fillId="7" borderId="34" xfId="1" quotePrefix="1" applyFont="1" applyFill="1" applyBorder="1" applyAlignment="1">
      <alignment horizontal="left" vertical="center" wrapText="1"/>
    </xf>
    <xf numFmtId="0" fontId="11" fillId="7" borderId="24" xfId="2" applyNumberFormat="1" applyFont="1" applyFill="1" applyBorder="1" applyAlignment="1">
      <alignment horizontal="left" vertical="center" wrapText="1"/>
    </xf>
    <xf numFmtId="0" fontId="11" fillId="7" borderId="22" xfId="1" applyFont="1" applyFill="1" applyBorder="1" applyAlignment="1">
      <alignment horizontal="center" vertical="center" wrapText="1"/>
    </xf>
    <xf numFmtId="165" fontId="11" fillId="7" borderId="39" xfId="3" applyNumberFormat="1" applyFont="1" applyFill="1" applyBorder="1" applyAlignment="1">
      <alignment horizontal="right" vertical="center" wrapText="1"/>
    </xf>
    <xf numFmtId="165" fontId="11" fillId="7" borderId="32" xfId="3" applyNumberFormat="1" applyFont="1" applyFill="1" applyBorder="1" applyAlignment="1">
      <alignment horizontal="right" vertical="center" wrapText="1"/>
    </xf>
    <xf numFmtId="0" fontId="11" fillId="7" borderId="23" xfId="1" applyFont="1" applyFill="1" applyBorder="1" applyAlignment="1">
      <alignment horizontal="center" vertical="center"/>
    </xf>
    <xf numFmtId="0" fontId="11" fillId="7" borderId="25" xfId="5" quotePrefix="1" applyFont="1" applyFill="1" applyBorder="1" applyAlignment="1">
      <alignment vertical="center" wrapText="1"/>
    </xf>
    <xf numFmtId="9" fontId="11" fillId="7" borderId="24" xfId="8" applyFont="1" applyFill="1" applyBorder="1" applyAlignment="1">
      <alignment horizontal="center" vertical="center"/>
    </xf>
    <xf numFmtId="0" fontId="11" fillId="0" borderId="24" xfId="6" applyNumberFormat="1" applyFont="1" applyFill="1" applyBorder="1" applyAlignment="1">
      <alignment horizontal="left" vertical="center" wrapText="1"/>
    </xf>
    <xf numFmtId="0" fontId="7" fillId="0" borderId="25" xfId="1" quotePrefix="1" applyFont="1" applyFill="1" applyBorder="1" applyAlignment="1">
      <alignment horizontal="right" vertical="center" wrapText="1"/>
    </xf>
    <xf numFmtId="0" fontId="7" fillId="0" borderId="26" xfId="5" applyFont="1" applyFill="1" applyBorder="1" applyAlignment="1">
      <alignment vertical="center" wrapText="1"/>
    </xf>
    <xf numFmtId="0" fontId="11" fillId="0" borderId="26" xfId="5" applyFont="1" applyFill="1" applyBorder="1" applyAlignment="1">
      <alignment vertical="center" wrapText="1"/>
    </xf>
    <xf numFmtId="9" fontId="7" fillId="0" borderId="28" xfId="8" applyFont="1" applyFill="1" applyBorder="1" applyAlignment="1">
      <alignment horizontal="center" vertical="center"/>
    </xf>
    <xf numFmtId="9" fontId="7" fillId="0" borderId="42" xfId="8" applyFont="1" applyFill="1" applyBorder="1" applyAlignment="1">
      <alignment horizontal="center" vertical="center"/>
    </xf>
    <xf numFmtId="3" fontId="11" fillId="0" borderId="24" xfId="5" applyNumberFormat="1" applyFont="1" applyFill="1" applyBorder="1" applyAlignment="1">
      <alignment horizontal="left" vertical="center" wrapText="1"/>
    </xf>
    <xf numFmtId="9" fontId="11" fillId="0" borderId="32" xfId="5" applyNumberFormat="1" applyFont="1" applyFill="1" applyBorder="1" applyAlignment="1">
      <alignment horizontal="center" vertical="center" wrapText="1"/>
    </xf>
    <xf numFmtId="0" fontId="11" fillId="0" borderId="43" xfId="1" quotePrefix="1" applyFont="1" applyFill="1" applyBorder="1" applyAlignment="1">
      <alignment horizontal="center" vertical="center" wrapText="1"/>
    </xf>
    <xf numFmtId="3" fontId="11" fillId="0" borderId="28" xfId="5" applyNumberFormat="1" applyFont="1" applyFill="1" applyBorder="1" applyAlignment="1">
      <alignment horizontal="left" vertical="center" wrapText="1"/>
    </xf>
    <xf numFmtId="164" fontId="11" fillId="0" borderId="28" xfId="5" applyNumberFormat="1" applyFont="1" applyFill="1" applyBorder="1" applyAlignment="1">
      <alignment horizontal="center" vertical="center" wrapText="1"/>
    </xf>
    <xf numFmtId="164" fontId="11" fillId="0" borderId="42" xfId="5" applyNumberFormat="1" applyFont="1" applyFill="1" applyBorder="1" applyAlignment="1">
      <alignment horizontal="center" vertical="center" wrapText="1"/>
    </xf>
    <xf numFmtId="0" fontId="9" fillId="0" borderId="20" xfId="1" quotePrefix="1" applyFont="1" applyFill="1" applyBorder="1" applyAlignment="1">
      <alignment horizontal="center" vertical="center"/>
    </xf>
    <xf numFmtId="164" fontId="9" fillId="0" borderId="17" xfId="5" applyNumberFormat="1" applyFont="1" applyFill="1" applyBorder="1" applyAlignment="1">
      <alignment horizontal="center" vertical="center" wrapText="1"/>
    </xf>
    <xf numFmtId="0" fontId="11" fillId="0" borderId="29" xfId="1" quotePrefix="1" applyFont="1" applyFill="1" applyBorder="1" applyAlignment="1">
      <alignment horizontal="center" vertical="center" wrapText="1"/>
    </xf>
    <xf numFmtId="164" fontId="11" fillId="0" borderId="42" xfId="5" applyNumberFormat="1" applyFont="1" applyFill="1" applyBorder="1" applyAlignment="1">
      <alignment vertical="center" wrapText="1"/>
    </xf>
    <xf numFmtId="0" fontId="7" fillId="0" borderId="27" xfId="5" applyFont="1" applyFill="1" applyBorder="1" applyAlignment="1">
      <alignment vertical="center" wrapText="1"/>
    </xf>
    <xf numFmtId="165" fontId="9" fillId="2" borderId="11" xfId="3" applyNumberFormat="1" applyFont="1" applyFill="1" applyBorder="1" applyAlignment="1">
      <alignment horizontal="right" vertical="center"/>
    </xf>
    <xf numFmtId="0" fontId="11" fillId="0" borderId="25" xfId="5" quotePrefix="1" applyFont="1" applyFill="1" applyBorder="1" applyAlignment="1">
      <alignment vertical="center" wrapText="1"/>
    </xf>
    <xf numFmtId="0" fontId="11" fillId="0" borderId="24" xfId="5" applyFont="1" applyFill="1" applyBorder="1" applyAlignment="1">
      <alignment horizontal="left" vertical="top" wrapText="1"/>
    </xf>
    <xf numFmtId="0" fontId="9" fillId="2" borderId="10" xfId="2" applyNumberFormat="1" applyFont="1" applyFill="1" applyBorder="1" applyAlignment="1">
      <alignment horizontal="center" vertical="center" wrapText="1"/>
    </xf>
    <xf numFmtId="1" fontId="9" fillId="2" borderId="9" xfId="3" applyNumberFormat="1" applyFont="1" applyFill="1" applyBorder="1" applyAlignment="1">
      <alignment horizontal="center" vertical="center" wrapText="1"/>
    </xf>
    <xf numFmtId="1" fontId="9" fillId="2" borderId="12" xfId="3" applyNumberFormat="1" applyFont="1" applyFill="1" applyBorder="1" applyAlignment="1">
      <alignment horizontal="center" vertical="center" wrapText="1"/>
    </xf>
    <xf numFmtId="165" fontId="9" fillId="3" borderId="66" xfId="3" applyNumberFormat="1" applyFont="1" applyFill="1" applyBorder="1" applyAlignment="1">
      <alignment horizontal="center" vertical="center" wrapText="1"/>
    </xf>
    <xf numFmtId="165" fontId="9" fillId="3" borderId="84" xfId="3" applyNumberFormat="1" applyFont="1" applyFill="1" applyBorder="1" applyAlignment="1">
      <alignment horizontal="center" vertical="center" wrapText="1"/>
    </xf>
    <xf numFmtId="1" fontId="9" fillId="2" borderId="10" xfId="3" applyNumberFormat="1" applyFont="1" applyFill="1" applyBorder="1" applyAlignment="1">
      <alignment horizontal="center" vertical="center" wrapText="1"/>
    </xf>
    <xf numFmtId="165" fontId="9" fillId="2" borderId="10" xfId="3" applyNumberFormat="1" applyFont="1" applyFill="1" applyBorder="1" applyAlignment="1">
      <alignment horizontal="right" vertical="center"/>
    </xf>
    <xf numFmtId="165" fontId="9" fillId="4" borderId="85" xfId="1" applyNumberFormat="1" applyFont="1" applyFill="1" applyBorder="1" applyAlignment="1">
      <alignment horizontal="right" vertical="center" wrapText="1"/>
    </xf>
    <xf numFmtId="4" fontId="9" fillId="5" borderId="17" xfId="5" applyNumberFormat="1" applyFont="1" applyFill="1" applyBorder="1" applyAlignment="1">
      <alignment horizontal="right" vertical="center" wrapText="1"/>
    </xf>
    <xf numFmtId="4" fontId="11" fillId="0" borderId="28" xfId="5" applyNumberFormat="1" applyFont="1" applyFill="1" applyBorder="1" applyAlignment="1">
      <alignment horizontal="right" vertical="center" wrapText="1"/>
    </xf>
    <xf numFmtId="4" fontId="11" fillId="0" borderId="24" xfId="5" applyNumberFormat="1" applyFont="1" applyFill="1" applyBorder="1" applyAlignment="1">
      <alignment horizontal="right" vertical="center" wrapText="1"/>
    </xf>
    <xf numFmtId="4" fontId="11" fillId="0" borderId="34" xfId="5" applyNumberFormat="1" applyFont="1" applyFill="1" applyBorder="1" applyAlignment="1">
      <alignment horizontal="right" vertical="center" wrapText="1"/>
    </xf>
    <xf numFmtId="4" fontId="11" fillId="2" borderId="28" xfId="5" applyNumberFormat="1" applyFont="1" applyFill="1" applyBorder="1" applyAlignment="1">
      <alignment horizontal="right" vertical="center" wrapText="1"/>
    </xf>
    <xf numFmtId="165" fontId="11" fillId="0" borderId="24" xfId="5" applyNumberFormat="1" applyFont="1" applyFill="1" applyBorder="1" applyAlignment="1">
      <alignment horizontal="right" vertical="center" wrapText="1"/>
    </xf>
    <xf numFmtId="165" fontId="7" fillId="0" borderId="24" xfId="5" applyNumberFormat="1" applyFont="1" applyFill="1" applyBorder="1" applyAlignment="1">
      <alignment horizontal="right" vertical="center" wrapText="1"/>
    </xf>
    <xf numFmtId="165" fontId="11" fillId="0" borderId="28" xfId="5" applyNumberFormat="1" applyFont="1" applyFill="1" applyBorder="1" applyAlignment="1">
      <alignment horizontal="right" vertical="center" wrapText="1"/>
    </xf>
    <xf numFmtId="165" fontId="7" fillId="0" borderId="28" xfId="5" applyNumberFormat="1" applyFont="1" applyFill="1" applyBorder="1" applyAlignment="1">
      <alignment horizontal="right" vertical="center" wrapText="1"/>
    </xf>
    <xf numFmtId="4" fontId="11" fillId="2" borderId="48" xfId="5" applyNumberFormat="1" applyFont="1" applyFill="1" applyBorder="1" applyAlignment="1">
      <alignment horizontal="right" vertical="center" wrapText="1"/>
    </xf>
    <xf numFmtId="4" fontId="11" fillId="2" borderId="24" xfId="5" applyNumberFormat="1" applyFont="1" applyFill="1" applyBorder="1" applyAlignment="1">
      <alignment horizontal="right" vertical="center" wrapText="1"/>
    </xf>
    <xf numFmtId="4" fontId="11" fillId="2" borderId="34" xfId="5" applyNumberFormat="1" applyFont="1" applyFill="1" applyBorder="1" applyAlignment="1">
      <alignment horizontal="right" vertical="center" wrapText="1"/>
    </xf>
    <xf numFmtId="165" fontId="13" fillId="2" borderId="48" xfId="3" applyNumberFormat="1" applyFont="1" applyFill="1" applyBorder="1" applyAlignment="1">
      <alignment horizontal="right" vertical="center" wrapText="1"/>
    </xf>
    <xf numFmtId="165" fontId="9" fillId="4" borderId="10" xfId="3" applyNumberFormat="1" applyFont="1" applyFill="1" applyBorder="1" applyAlignment="1">
      <alignment horizontal="right" vertical="center" wrapText="1"/>
    </xf>
    <xf numFmtId="166" fontId="9" fillId="5" borderId="17" xfId="4" applyNumberFormat="1" applyFont="1" applyFill="1" applyBorder="1" applyAlignment="1">
      <alignment horizontal="center" vertical="center" wrapText="1"/>
    </xf>
    <xf numFmtId="166" fontId="11" fillId="0" borderId="24" xfId="4" applyNumberFormat="1" applyFont="1" applyFill="1" applyBorder="1" applyAlignment="1">
      <alignment horizontal="center" vertical="center"/>
    </xf>
    <xf numFmtId="166" fontId="11" fillId="0" borderId="24" xfId="4" applyNumberFormat="1" applyFont="1" applyFill="1" applyBorder="1" applyAlignment="1">
      <alignment horizontal="center" vertical="center" wrapText="1"/>
    </xf>
    <xf numFmtId="166" fontId="7" fillId="0" borderId="24" xfId="4" applyNumberFormat="1" applyFont="1" applyFill="1" applyBorder="1" applyAlignment="1">
      <alignment horizontal="center" vertical="center" wrapText="1"/>
    </xf>
    <xf numFmtId="166" fontId="9" fillId="0" borderId="24" xfId="4" applyNumberFormat="1" applyFont="1" applyFill="1" applyBorder="1" applyAlignment="1">
      <alignment horizontal="center" vertical="center" wrapText="1"/>
    </xf>
    <xf numFmtId="165" fontId="11" fillId="0" borderId="24" xfId="5" applyNumberFormat="1" applyFont="1" applyFill="1" applyBorder="1" applyAlignment="1">
      <alignment horizontal="right" vertical="top"/>
    </xf>
    <xf numFmtId="166" fontId="11" fillId="0" borderId="24" xfId="4" applyNumberFormat="1" applyFont="1" applyFill="1" applyBorder="1" applyAlignment="1">
      <alignment horizontal="right" vertical="center" wrapText="1"/>
    </xf>
    <xf numFmtId="166" fontId="11" fillId="0" borderId="24" xfId="4" applyNumberFormat="1" applyFont="1" applyFill="1" applyBorder="1" applyAlignment="1">
      <alignment horizontal="right" vertical="center"/>
    </xf>
    <xf numFmtId="166" fontId="11" fillId="0" borderId="34" xfId="4" applyNumberFormat="1" applyFont="1" applyFill="1" applyBorder="1" applyAlignment="1">
      <alignment horizontal="center" vertical="center" wrapText="1"/>
    </xf>
    <xf numFmtId="166" fontId="7" fillId="0" borderId="34" xfId="4" applyNumberFormat="1" applyFont="1" applyFill="1" applyBorder="1" applyAlignment="1">
      <alignment horizontal="center" vertical="center" wrapText="1"/>
    </xf>
    <xf numFmtId="166" fontId="13" fillId="0" borderId="24" xfId="4" applyNumberFormat="1" applyFont="1" applyFill="1" applyBorder="1" applyAlignment="1">
      <alignment horizontal="center" vertical="center" wrapText="1"/>
    </xf>
    <xf numFmtId="166" fontId="7" fillId="0" borderId="24" xfId="4" applyNumberFormat="1" applyFont="1" applyFill="1" applyBorder="1" applyAlignment="1">
      <alignment horizontal="center" vertical="center"/>
    </xf>
    <xf numFmtId="4" fontId="7" fillId="0" borderId="24" xfId="5" applyNumberFormat="1" applyFont="1" applyFill="1" applyBorder="1" applyAlignment="1">
      <alignment horizontal="right" vertical="center" wrapText="1"/>
    </xf>
    <xf numFmtId="166" fontId="7" fillId="0" borderId="24" xfId="4" applyNumberFormat="1" applyFont="1" applyFill="1" applyBorder="1" applyAlignment="1">
      <alignment horizontal="right" vertical="center" wrapText="1"/>
    </xf>
    <xf numFmtId="165" fontId="13" fillId="2" borderId="48" xfId="5" applyNumberFormat="1" applyFont="1" applyFill="1" applyBorder="1" applyAlignment="1">
      <alignment horizontal="right" vertical="top"/>
    </xf>
    <xf numFmtId="165" fontId="9" fillId="5" borderId="17" xfId="3" applyNumberFormat="1" applyFont="1" applyFill="1" applyBorder="1" applyAlignment="1">
      <alignment horizontal="right" vertical="center"/>
    </xf>
    <xf numFmtId="165" fontId="11" fillId="0" borderId="34" xfId="12" applyNumberFormat="1" applyFont="1" applyFill="1" applyBorder="1" applyAlignment="1">
      <alignment horizontal="right" vertical="center" wrapText="1"/>
    </xf>
    <xf numFmtId="165" fontId="11" fillId="0" borderId="24" xfId="12" applyNumberFormat="1" applyFont="1" applyFill="1" applyBorder="1" applyAlignment="1">
      <alignment horizontal="right" vertical="center" wrapText="1"/>
    </xf>
    <xf numFmtId="165" fontId="7" fillId="0" borderId="28" xfId="5" applyNumberFormat="1" applyFont="1" applyFill="1" applyBorder="1" applyAlignment="1">
      <alignment horizontal="right" vertical="center"/>
    </xf>
    <xf numFmtId="165" fontId="7" fillId="0" borderId="24" xfId="12" applyNumberFormat="1" applyFont="1" applyFill="1" applyBorder="1" applyAlignment="1">
      <alignment horizontal="right" vertical="center" wrapText="1"/>
    </xf>
    <xf numFmtId="165" fontId="11" fillId="0" borderId="28" xfId="12" applyNumberFormat="1" applyFont="1" applyFill="1" applyBorder="1" applyAlignment="1">
      <alignment horizontal="right" vertical="center" wrapText="1"/>
    </xf>
    <xf numFmtId="165" fontId="13" fillId="2" borderId="28" xfId="3" applyNumberFormat="1" applyFont="1" applyFill="1" applyBorder="1" applyAlignment="1">
      <alignment horizontal="right" vertical="center" wrapText="1"/>
    </xf>
    <xf numFmtId="165" fontId="9" fillId="5" borderId="17" xfId="3" applyNumberFormat="1" applyFont="1" applyFill="1" applyBorder="1" applyAlignment="1">
      <alignment horizontal="right" vertical="center" wrapText="1"/>
    </xf>
    <xf numFmtId="165" fontId="11" fillId="2" borderId="24" xfId="3" applyNumberFormat="1" applyFont="1" applyFill="1" applyBorder="1" applyAlignment="1">
      <alignment horizontal="right" vertical="center"/>
    </xf>
    <xf numFmtId="165" fontId="13" fillId="2" borderId="28" xfId="3" applyNumberFormat="1" applyFont="1" applyFill="1" applyBorder="1" applyAlignment="1">
      <alignment horizontal="right" vertical="center"/>
    </xf>
    <xf numFmtId="165" fontId="9" fillId="5" borderId="17" xfId="1" applyNumberFormat="1" applyFont="1" applyFill="1" applyBorder="1" applyAlignment="1">
      <alignment horizontal="right" vertical="center" wrapText="1"/>
    </xf>
    <xf numFmtId="165" fontId="11" fillId="0" borderId="34" xfId="1" applyNumberFormat="1" applyFont="1" applyFill="1" applyBorder="1" applyAlignment="1">
      <alignment horizontal="right" vertical="center" wrapText="1"/>
    </xf>
    <xf numFmtId="165" fontId="11" fillId="0" borderId="24" xfId="1" applyNumberFormat="1" applyFont="1" applyFill="1" applyBorder="1" applyAlignment="1">
      <alignment horizontal="right" vertical="center" wrapText="1"/>
    </xf>
    <xf numFmtId="165" fontId="7" fillId="0" borderId="24" xfId="1" applyNumberFormat="1" applyFont="1" applyFill="1" applyBorder="1" applyAlignment="1">
      <alignment horizontal="right" vertical="center" wrapText="1"/>
    </xf>
    <xf numFmtId="165" fontId="18" fillId="2" borderId="28" xfId="1" applyNumberFormat="1" applyFont="1" applyFill="1" applyBorder="1" applyAlignment="1">
      <alignment horizontal="right" vertical="center" wrapText="1"/>
    </xf>
    <xf numFmtId="165" fontId="11" fillId="0" borderId="52" xfId="3" applyNumberFormat="1" applyFont="1" applyFill="1" applyBorder="1" applyAlignment="1">
      <alignment horizontal="right" vertical="center" wrapText="1"/>
    </xf>
    <xf numFmtId="165" fontId="7" fillId="0" borderId="34" xfId="5" applyNumberFormat="1" applyFont="1" applyFill="1" applyBorder="1" applyAlignment="1">
      <alignment horizontal="right" vertical="center" wrapText="1"/>
    </xf>
    <xf numFmtId="165" fontId="11" fillId="0" borderId="34" xfId="3" applyNumberFormat="1" applyFont="1" applyFill="1" applyBorder="1" applyAlignment="1">
      <alignment horizontal="right" vertical="center" wrapText="1"/>
    </xf>
    <xf numFmtId="165" fontId="13" fillId="2" borderId="48" xfId="12" applyNumberFormat="1" applyFont="1" applyFill="1" applyBorder="1" applyAlignment="1">
      <alignment horizontal="right" vertical="center" wrapText="1"/>
    </xf>
    <xf numFmtId="165" fontId="11" fillId="0" borderId="28" xfId="5" applyNumberFormat="1" applyFont="1" applyFill="1" applyBorder="1" applyAlignment="1">
      <alignment horizontal="right" vertical="top"/>
    </xf>
    <xf numFmtId="165" fontId="11" fillId="0" borderId="24" xfId="5" applyNumberFormat="1" applyFont="1" applyFill="1" applyBorder="1" applyAlignment="1">
      <alignment horizontal="right" vertical="center"/>
    </xf>
    <xf numFmtId="165" fontId="13" fillId="0" borderId="48" xfId="3" applyNumberFormat="1" applyFont="1" applyFill="1" applyBorder="1" applyAlignment="1">
      <alignment horizontal="right" vertical="center" wrapText="1"/>
    </xf>
    <xf numFmtId="165" fontId="7" fillId="0" borderId="34" xfId="3" applyNumberFormat="1" applyFont="1" applyFill="1" applyBorder="1" applyAlignment="1">
      <alignment horizontal="right" vertical="center" wrapText="1"/>
    </xf>
    <xf numFmtId="165" fontId="7" fillId="0" borderId="24" xfId="3" applyNumberFormat="1" applyFont="1" applyFill="1" applyBorder="1" applyAlignment="1">
      <alignment horizontal="right" vertical="center" wrapText="1"/>
    </xf>
    <xf numFmtId="165" fontId="11" fillId="0" borderId="24" xfId="3" applyNumberFormat="1" applyFont="1" applyFill="1" applyBorder="1" applyAlignment="1">
      <alignment horizontal="right" vertical="center" wrapText="1"/>
    </xf>
    <xf numFmtId="165" fontId="11" fillId="0" borderId="28" xfId="3" applyNumberFormat="1" applyFont="1" applyFill="1" applyBorder="1" applyAlignment="1">
      <alignment horizontal="right" vertical="center" wrapText="1"/>
    </xf>
    <xf numFmtId="165" fontId="11" fillId="2" borderId="24" xfId="3" applyNumberFormat="1" applyFont="1" applyFill="1" applyBorder="1" applyAlignment="1">
      <alignment horizontal="right" vertical="center" wrapText="1"/>
    </xf>
    <xf numFmtId="165" fontId="11" fillId="2" borderId="28" xfId="3" applyNumberFormat="1" applyFont="1" applyFill="1" applyBorder="1" applyAlignment="1">
      <alignment horizontal="right" vertical="center" wrapText="1"/>
    </xf>
    <xf numFmtId="165" fontId="7" fillId="2" borderId="24" xfId="3" applyNumberFormat="1" applyFont="1" applyFill="1" applyBorder="1" applyAlignment="1">
      <alignment horizontal="right" vertical="center" wrapText="1"/>
    </xf>
    <xf numFmtId="165" fontId="13" fillId="2" borderId="55" xfId="3" applyNumberFormat="1" applyFont="1" applyFill="1" applyBorder="1" applyAlignment="1">
      <alignment horizontal="right" vertical="center" wrapText="1"/>
    </xf>
    <xf numFmtId="41" fontId="13" fillId="2" borderId="0" xfId="15" applyFont="1" applyFill="1" applyAlignment="1">
      <alignment vertical="center"/>
    </xf>
    <xf numFmtId="41" fontId="13" fillId="0" borderId="0" xfId="15" applyFont="1" applyFill="1" applyAlignment="1">
      <alignment vertical="center"/>
    </xf>
    <xf numFmtId="41" fontId="7" fillId="0" borderId="0" xfId="15" applyFont="1" applyFill="1" applyAlignment="1">
      <alignment vertical="center"/>
    </xf>
    <xf numFmtId="41" fontId="14" fillId="0" borderId="0" xfId="15" applyFont="1" applyFill="1" applyAlignment="1">
      <alignment vertical="center"/>
    </xf>
    <xf numFmtId="41" fontId="7" fillId="2" borderId="0" xfId="15" applyFont="1" applyFill="1" applyAlignment="1">
      <alignment vertical="center"/>
    </xf>
    <xf numFmtId="41" fontId="11" fillId="0" borderId="0" xfId="15" applyFont="1" applyFill="1" applyAlignment="1">
      <alignment vertical="center" wrapText="1"/>
    </xf>
    <xf numFmtId="41" fontId="7" fillId="0" borderId="0" xfId="15" applyFont="1" applyFill="1" applyAlignment="1">
      <alignment vertical="center" wrapText="1"/>
    </xf>
    <xf numFmtId="41" fontId="14" fillId="0" borderId="0" xfId="15" applyFont="1" applyFill="1" applyAlignment="1">
      <alignment vertical="center" wrapText="1"/>
    </xf>
    <xf numFmtId="41" fontId="14" fillId="2" borderId="0" xfId="15" applyFont="1" applyFill="1" applyAlignment="1">
      <alignment vertical="center"/>
    </xf>
    <xf numFmtId="41" fontId="13" fillId="2" borderId="0" xfId="15" applyFont="1" applyFill="1" applyAlignment="1">
      <alignment horizontal="left" vertical="center"/>
    </xf>
    <xf numFmtId="41" fontId="11" fillId="2" borderId="0" xfId="15" applyFont="1" applyFill="1" applyAlignment="1">
      <alignment horizontal="left" vertical="center"/>
    </xf>
    <xf numFmtId="41" fontId="29" fillId="2" borderId="0" xfId="15" applyFont="1" applyFill="1" applyAlignment="1">
      <alignment vertical="center"/>
    </xf>
    <xf numFmtId="41" fontId="11" fillId="2" borderId="0" xfId="15" applyFont="1" applyFill="1" applyBorder="1" applyAlignment="1">
      <alignment horizontal="center" vertical="center" wrapText="1"/>
    </xf>
    <xf numFmtId="0" fontId="14" fillId="0" borderId="25" xfId="5" applyFont="1" applyFill="1" applyBorder="1" applyAlignment="1">
      <alignment horizontal="center" vertical="center" wrapText="1"/>
    </xf>
    <xf numFmtId="0" fontId="7" fillId="0" borderId="24" xfId="5" quotePrefix="1" applyFont="1" applyFill="1" applyBorder="1" applyAlignment="1">
      <alignment horizontal="center" vertical="center" wrapText="1"/>
    </xf>
    <xf numFmtId="165" fontId="22" fillId="0" borderId="28" xfId="12" applyFont="1" applyFill="1" applyBorder="1" applyAlignment="1">
      <alignment horizontal="center" vertical="center" wrapText="1"/>
    </xf>
    <xf numFmtId="165" fontId="6" fillId="0" borderId="30" xfId="12" applyFont="1" applyFill="1" applyBorder="1" applyAlignment="1">
      <alignment horizontal="center" vertical="center" wrapText="1"/>
    </xf>
    <xf numFmtId="0" fontId="7" fillId="0" borderId="24" xfId="5" applyFont="1" applyFill="1" applyBorder="1" applyAlignment="1">
      <alignment wrapText="1"/>
    </xf>
    <xf numFmtId="9" fontId="7" fillId="0" borderId="27" xfId="8" applyFont="1" applyFill="1" applyBorder="1" applyAlignment="1">
      <alignment horizontal="center" vertical="center"/>
    </xf>
    <xf numFmtId="0" fontId="7" fillId="0" borderId="25" xfId="1" quotePrefix="1" applyFont="1" applyFill="1" applyBorder="1" applyAlignment="1">
      <alignment horizontal="right" vertical="top" wrapText="1"/>
    </xf>
    <xf numFmtId="0" fontId="11" fillId="0" borderId="23" xfId="1" applyFont="1" applyFill="1" applyBorder="1" applyAlignment="1">
      <alignment horizontal="center" vertical="center"/>
    </xf>
    <xf numFmtId="9" fontId="7" fillId="0" borderId="24" xfId="8" applyNumberFormat="1" applyFont="1" applyFill="1" applyBorder="1" applyAlignment="1">
      <alignment horizontal="center" vertical="center"/>
    </xf>
    <xf numFmtId="9" fontId="7" fillId="0" borderId="30" xfId="8" applyNumberFormat="1" applyFont="1" applyFill="1" applyBorder="1" applyAlignment="1">
      <alignment horizontal="center" vertical="center"/>
    </xf>
    <xf numFmtId="0" fontId="7" fillId="0" borderId="26" xfId="5" applyFont="1" applyFill="1" applyBorder="1" applyAlignment="1">
      <alignment wrapText="1"/>
    </xf>
    <xf numFmtId="0" fontId="7" fillId="0" borderId="41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vertical="center" wrapText="1"/>
    </xf>
    <xf numFmtId="9" fontId="14" fillId="0" borderId="28" xfId="8" applyFont="1" applyFill="1" applyBorder="1" applyAlignment="1">
      <alignment horizontal="center" vertical="center" wrapText="1"/>
    </xf>
    <xf numFmtId="9" fontId="14" fillId="0" borderId="42" xfId="8" applyFont="1" applyFill="1" applyBorder="1" applyAlignment="1">
      <alignment vertical="center" wrapText="1"/>
    </xf>
    <xf numFmtId="0" fontId="14" fillId="0" borderId="0" xfId="1" applyFont="1" applyFill="1" applyAlignment="1">
      <alignment vertical="center" wrapText="1"/>
    </xf>
    <xf numFmtId="0" fontId="7" fillId="0" borderId="25" xfId="1" applyFont="1" applyFill="1" applyBorder="1" applyAlignment="1">
      <alignment horizontal="right" vertical="center" wrapText="1"/>
    </xf>
    <xf numFmtId="0" fontId="11" fillId="0" borderId="25" xfId="5" applyFont="1" applyFill="1" applyBorder="1" applyAlignment="1">
      <alignment vertical="center" wrapText="1"/>
    </xf>
    <xf numFmtId="165" fontId="11" fillId="0" borderId="28" xfId="3" applyNumberFormat="1" applyFont="1" applyFill="1" applyBorder="1" applyAlignment="1">
      <alignment horizontal="right" vertical="center"/>
    </xf>
    <xf numFmtId="9" fontId="11" fillId="0" borderId="30" xfId="5" applyNumberFormat="1" applyFont="1" applyFill="1" applyBorder="1" applyAlignment="1">
      <alignment vertical="center"/>
    </xf>
    <xf numFmtId="0" fontId="13" fillId="0" borderId="41" xfId="1" applyFont="1" applyFill="1" applyBorder="1" applyAlignment="1">
      <alignment horizontal="center" vertical="center"/>
    </xf>
    <xf numFmtId="0" fontId="13" fillId="0" borderId="28" xfId="1" quotePrefix="1" applyFont="1" applyFill="1" applyBorder="1" applyAlignment="1">
      <alignment horizontal="center" vertical="center" wrapText="1"/>
    </xf>
    <xf numFmtId="0" fontId="13" fillId="0" borderId="28" xfId="2" applyNumberFormat="1" applyFont="1" applyFill="1" applyBorder="1" applyAlignment="1">
      <alignment horizontal="left" vertical="center" wrapText="1"/>
    </xf>
    <xf numFmtId="0" fontId="13" fillId="0" borderId="28" xfId="2" applyNumberFormat="1" applyFont="1" applyFill="1" applyBorder="1" applyAlignment="1">
      <alignment horizontal="center" vertical="center" wrapText="1"/>
    </xf>
    <xf numFmtId="165" fontId="13" fillId="0" borderId="29" xfId="3" applyNumberFormat="1" applyFont="1" applyFill="1" applyBorder="1" applyAlignment="1">
      <alignment horizontal="right" vertical="center" wrapText="1"/>
    </xf>
    <xf numFmtId="165" fontId="13" fillId="0" borderId="42" xfId="3" applyNumberFormat="1" applyFont="1" applyFill="1" applyBorder="1" applyAlignment="1">
      <alignment horizontal="right" vertical="center" wrapText="1"/>
    </xf>
    <xf numFmtId="0" fontId="13" fillId="0" borderId="42" xfId="2" applyNumberFormat="1" applyFont="1" applyFill="1" applyBorder="1" applyAlignment="1">
      <alignment horizontal="center" vertical="center" wrapText="1"/>
    </xf>
    <xf numFmtId="0" fontId="13" fillId="2" borderId="43" xfId="1" quotePrefix="1" applyFont="1" applyFill="1" applyBorder="1" applyAlignment="1">
      <alignment horizontal="center" vertical="center" wrapText="1"/>
    </xf>
    <xf numFmtId="0" fontId="13" fillId="2" borderId="45" xfId="1" quotePrefix="1" applyFont="1" applyFill="1" applyBorder="1" applyAlignment="1">
      <alignment horizontal="center" vertical="center" wrapText="1"/>
    </xf>
    <xf numFmtId="0" fontId="11" fillId="2" borderId="25" xfId="1" applyFont="1" applyFill="1" applyBorder="1" applyAlignment="1">
      <alignment vertical="center" wrapText="1"/>
    </xf>
    <xf numFmtId="0" fontId="11" fillId="0" borderId="24" xfId="5" applyFont="1" applyFill="1" applyBorder="1" applyAlignment="1">
      <alignment horizontal="left" vertical="center" wrapText="1"/>
    </xf>
    <xf numFmtId="0" fontId="7" fillId="0" borderId="26" xfId="5" applyFont="1" applyFill="1" applyBorder="1" applyAlignment="1">
      <alignment vertical="center" wrapText="1"/>
    </xf>
    <xf numFmtId="3" fontId="11" fillId="0" borderId="24" xfId="1" applyNumberFormat="1" applyFont="1" applyFill="1" applyBorder="1" applyAlignment="1">
      <alignment horizontal="left" vertical="center" wrapText="1"/>
    </xf>
    <xf numFmtId="0" fontId="20" fillId="2" borderId="0" xfId="1" applyNumberFormat="1" applyFont="1" applyFill="1" applyAlignment="1">
      <alignment horizontal="center"/>
    </xf>
    <xf numFmtId="0" fontId="20" fillId="2" borderId="0" xfId="1" applyNumberFormat="1" applyFont="1" applyFill="1" applyBorder="1" applyAlignment="1">
      <alignment horizontal="center" vertical="center"/>
    </xf>
    <xf numFmtId="165" fontId="9" fillId="3" borderId="59" xfId="3" applyNumberFormat="1" applyFont="1" applyFill="1" applyBorder="1" applyAlignment="1">
      <alignment horizontal="center" vertical="center" wrapText="1"/>
    </xf>
    <xf numFmtId="165" fontId="9" fillId="3" borderId="12" xfId="3" applyNumberFormat="1" applyFont="1" applyFill="1" applyBorder="1" applyAlignment="1">
      <alignment horizontal="center" vertical="center" wrapText="1"/>
    </xf>
    <xf numFmtId="0" fontId="8" fillId="2" borderId="0" xfId="1" applyNumberFormat="1" applyFont="1" applyFill="1" applyAlignment="1">
      <alignment horizontal="center" vertical="center"/>
    </xf>
    <xf numFmtId="165" fontId="11" fillId="0" borderId="0" xfId="3" applyNumberFormat="1" applyFont="1" applyFill="1" applyBorder="1" applyAlignment="1">
      <alignment horizontal="center" vertical="center"/>
    </xf>
    <xf numFmtId="0" fontId="20" fillId="2" borderId="0" xfId="1" applyNumberFormat="1" applyFont="1" applyFill="1" applyAlignment="1">
      <alignment horizontal="center"/>
    </xf>
    <xf numFmtId="0" fontId="20" fillId="2" borderId="0" xfId="1" applyNumberFormat="1" applyFont="1" applyFill="1" applyBorder="1" applyAlignment="1">
      <alignment horizontal="center" vertical="center"/>
    </xf>
    <xf numFmtId="0" fontId="7" fillId="0" borderId="26" xfId="5" applyFont="1" applyFill="1" applyBorder="1" applyAlignment="1">
      <alignment vertical="center" wrapText="1"/>
    </xf>
    <xf numFmtId="3" fontId="11" fillId="0" borderId="24" xfId="1" applyNumberFormat="1" applyFont="1" applyFill="1" applyBorder="1" applyAlignment="1">
      <alignment horizontal="left" vertical="center" wrapText="1"/>
    </xf>
    <xf numFmtId="0" fontId="11" fillId="0" borderId="24" xfId="5" applyFont="1" applyFill="1" applyBorder="1" applyAlignment="1">
      <alignment horizontal="left" vertical="center" wrapText="1"/>
    </xf>
    <xf numFmtId="0" fontId="13" fillId="2" borderId="43" xfId="1" quotePrefix="1" applyFont="1" applyFill="1" applyBorder="1" applyAlignment="1">
      <alignment horizontal="center" vertical="center" wrapText="1"/>
    </xf>
    <xf numFmtId="0" fontId="13" fillId="2" borderId="45" xfId="1" quotePrefix="1" applyFont="1" applyFill="1" applyBorder="1" applyAlignment="1">
      <alignment horizontal="center" vertical="center" wrapText="1"/>
    </xf>
    <xf numFmtId="0" fontId="11" fillId="2" borderId="25" xfId="1" applyFont="1" applyFill="1" applyBorder="1" applyAlignment="1">
      <alignment vertical="center" wrapText="1"/>
    </xf>
    <xf numFmtId="0" fontId="8" fillId="2" borderId="0" xfId="1" applyNumberFormat="1" applyFont="1" applyFill="1" applyAlignment="1">
      <alignment horizontal="center" vertical="center"/>
    </xf>
    <xf numFmtId="165" fontId="11" fillId="0" borderId="0" xfId="3" applyNumberFormat="1" applyFont="1" applyFill="1" applyBorder="1" applyAlignment="1">
      <alignment horizontal="center" vertical="center"/>
    </xf>
    <xf numFmtId="165" fontId="9" fillId="3" borderId="0" xfId="3" applyNumberFormat="1" applyFont="1" applyFill="1" applyBorder="1" applyAlignment="1">
      <alignment horizontal="center" vertical="center" wrapText="1"/>
    </xf>
    <xf numFmtId="1" fontId="9" fillId="2" borderId="0" xfId="3" applyNumberFormat="1" applyFont="1" applyFill="1" applyBorder="1" applyAlignment="1">
      <alignment horizontal="center" vertical="center" wrapText="1"/>
    </xf>
    <xf numFmtId="165" fontId="9" fillId="2" borderId="0" xfId="3" applyNumberFormat="1" applyFont="1" applyFill="1" applyBorder="1" applyAlignment="1">
      <alignment horizontal="right" vertical="center"/>
    </xf>
    <xf numFmtId="165" fontId="9" fillId="4" borderId="0" xfId="1" applyNumberFormat="1" applyFont="1" applyFill="1" applyBorder="1" applyAlignment="1">
      <alignment horizontal="right" vertical="center" wrapText="1"/>
    </xf>
    <xf numFmtId="4" fontId="9" fillId="5" borderId="0" xfId="5" applyNumberFormat="1" applyFont="1" applyFill="1" applyBorder="1" applyAlignment="1">
      <alignment horizontal="right" vertical="center" wrapText="1"/>
    </xf>
    <xf numFmtId="4" fontId="11" fillId="2" borderId="0" xfId="5" applyNumberFormat="1" applyFont="1" applyFill="1" applyBorder="1" applyAlignment="1">
      <alignment horizontal="right" vertical="center" wrapText="1"/>
    </xf>
    <xf numFmtId="165" fontId="13" fillId="2" borderId="0" xfId="3" applyNumberFormat="1" applyFont="1" applyFill="1" applyBorder="1" applyAlignment="1">
      <alignment horizontal="right" vertical="center" wrapText="1"/>
    </xf>
    <xf numFmtId="165" fontId="9" fillId="4" borderId="0" xfId="3" applyNumberFormat="1" applyFont="1" applyFill="1" applyBorder="1" applyAlignment="1">
      <alignment horizontal="right" vertical="center" wrapText="1"/>
    </xf>
    <xf numFmtId="166" fontId="9" fillId="5" borderId="0" xfId="4" applyNumberFormat="1" applyFont="1" applyFill="1" applyBorder="1" applyAlignment="1">
      <alignment horizontal="center" vertical="center" wrapText="1"/>
    </xf>
    <xf numFmtId="166" fontId="11" fillId="7" borderId="0" xfId="4" applyNumberFormat="1" applyFont="1" applyFill="1" applyBorder="1" applyAlignment="1">
      <alignment horizontal="center" vertical="center" wrapText="1"/>
    </xf>
    <xf numFmtId="166" fontId="7" fillId="7" borderId="0" xfId="4" applyNumberFormat="1" applyFont="1" applyFill="1" applyBorder="1" applyAlignment="1">
      <alignment horizontal="center" vertical="center"/>
    </xf>
    <xf numFmtId="166" fontId="11" fillId="7" borderId="0" xfId="4" applyNumberFormat="1" applyFont="1" applyFill="1" applyBorder="1" applyAlignment="1">
      <alignment horizontal="center" vertical="center"/>
    </xf>
    <xf numFmtId="166" fontId="11" fillId="7" borderId="0" xfId="4" applyNumberFormat="1" applyFont="1" applyFill="1" applyBorder="1" applyAlignment="1">
      <alignment horizontal="right" vertical="center" wrapText="1"/>
    </xf>
    <xf numFmtId="165" fontId="13" fillId="2" borderId="0" xfId="5" applyNumberFormat="1" applyFont="1" applyFill="1" applyBorder="1" applyAlignment="1">
      <alignment horizontal="right" vertical="top"/>
    </xf>
    <xf numFmtId="165" fontId="9" fillId="5" borderId="0" xfId="3" applyNumberFormat="1" applyFont="1" applyFill="1" applyBorder="1" applyAlignment="1">
      <alignment horizontal="right" vertical="center"/>
    </xf>
    <xf numFmtId="165" fontId="7" fillId="0" borderId="0" xfId="5" applyNumberFormat="1" applyFont="1" applyFill="1" applyBorder="1" applyAlignment="1">
      <alignment horizontal="right" vertical="center"/>
    </xf>
    <xf numFmtId="165" fontId="17" fillId="0" borderId="0" xfId="5" applyNumberFormat="1" applyFont="1" applyFill="1" applyBorder="1" applyAlignment="1">
      <alignment horizontal="right" vertical="center"/>
    </xf>
    <xf numFmtId="165" fontId="11" fillId="7" borderId="0" xfId="12" applyNumberFormat="1" applyFont="1" applyFill="1" applyBorder="1" applyAlignment="1">
      <alignment horizontal="right" vertical="center" wrapText="1"/>
    </xf>
    <xf numFmtId="165" fontId="9" fillId="5" borderId="0" xfId="3" applyNumberFormat="1" applyFont="1" applyFill="1" applyBorder="1" applyAlignment="1">
      <alignment horizontal="right" vertical="center" wrapText="1"/>
    </xf>
    <xf numFmtId="165" fontId="11" fillId="2" borderId="0" xfId="3" applyNumberFormat="1" applyFont="1" applyFill="1" applyBorder="1" applyAlignment="1">
      <alignment horizontal="right" vertical="center"/>
    </xf>
    <xf numFmtId="165" fontId="13" fillId="2" borderId="0" xfId="3" applyNumberFormat="1" applyFont="1" applyFill="1" applyBorder="1" applyAlignment="1">
      <alignment horizontal="right" vertical="center"/>
    </xf>
    <xf numFmtId="165" fontId="9" fillId="5" borderId="0" xfId="1" applyNumberFormat="1" applyFont="1" applyFill="1" applyBorder="1" applyAlignment="1">
      <alignment horizontal="right" vertical="center" wrapText="1"/>
    </xf>
    <xf numFmtId="165" fontId="18" fillId="2" borderId="0" xfId="1" applyNumberFormat="1" applyFont="1" applyFill="1" applyBorder="1" applyAlignment="1">
      <alignment horizontal="right" vertical="center" wrapText="1"/>
    </xf>
    <xf numFmtId="165" fontId="11" fillId="7" borderId="0" xfId="3" applyNumberFormat="1" applyFont="1" applyFill="1" applyBorder="1" applyAlignment="1">
      <alignment horizontal="right" vertical="center" wrapText="1"/>
    </xf>
    <xf numFmtId="165" fontId="11" fillId="7" borderId="0" xfId="5" applyNumberFormat="1" applyFont="1" applyFill="1" applyBorder="1" applyAlignment="1">
      <alignment horizontal="right" vertical="center" wrapText="1"/>
    </xf>
    <xf numFmtId="165" fontId="11" fillId="7" borderId="0" xfId="3" applyNumberFormat="1" applyFont="1" applyFill="1" applyBorder="1" applyAlignment="1">
      <alignment horizontal="right" vertical="center"/>
    </xf>
    <xf numFmtId="165" fontId="13" fillId="2" borderId="0" xfId="12" applyNumberFormat="1" applyFont="1" applyFill="1" applyBorder="1" applyAlignment="1">
      <alignment horizontal="right" vertical="center" wrapText="1"/>
    </xf>
    <xf numFmtId="165" fontId="11" fillId="2" borderId="0" xfId="3" applyNumberFormat="1" applyFont="1" applyFill="1" applyBorder="1" applyAlignment="1">
      <alignment horizontal="right" vertical="center" wrapText="1"/>
    </xf>
    <xf numFmtId="165" fontId="7" fillId="2" borderId="0" xfId="3" applyNumberFormat="1" applyFont="1" applyFill="1" applyBorder="1" applyAlignment="1">
      <alignment horizontal="right" vertical="center" wrapText="1"/>
    </xf>
    <xf numFmtId="165" fontId="9" fillId="3" borderId="17" xfId="3" applyNumberFormat="1" applyFont="1" applyFill="1" applyBorder="1" applyAlignment="1">
      <alignment horizontal="center" vertical="center" wrapText="1"/>
    </xf>
    <xf numFmtId="165" fontId="11" fillId="2" borderId="17" xfId="3" applyNumberFormat="1" applyFont="1" applyFill="1" applyBorder="1" applyAlignment="1">
      <alignment horizontal="right" vertical="center"/>
    </xf>
    <xf numFmtId="166" fontId="7" fillId="7" borderId="25" xfId="4" applyNumberFormat="1" applyFont="1" applyFill="1" applyBorder="1" applyAlignment="1">
      <alignment horizontal="center" vertical="center"/>
    </xf>
    <xf numFmtId="1" fontId="9" fillId="2" borderId="17" xfId="3" applyNumberFormat="1" applyFont="1" applyFill="1" applyBorder="1" applyAlignment="1">
      <alignment horizontal="center" vertical="center" wrapText="1"/>
    </xf>
    <xf numFmtId="165" fontId="9" fillId="2" borderId="17" xfId="3" applyNumberFormat="1" applyFont="1" applyFill="1" applyBorder="1" applyAlignment="1">
      <alignment horizontal="right" vertical="center"/>
    </xf>
    <xf numFmtId="165" fontId="9" fillId="4" borderId="17" xfId="1" applyNumberFormat="1" applyFont="1" applyFill="1" applyBorder="1" applyAlignment="1">
      <alignment horizontal="right" vertical="center" wrapText="1"/>
    </xf>
    <xf numFmtId="4" fontId="11" fillId="0" borderId="17" xfId="5" applyNumberFormat="1" applyFont="1" applyFill="1" applyBorder="1" applyAlignment="1">
      <alignment horizontal="right" vertical="center" wrapText="1"/>
    </xf>
    <xf numFmtId="4" fontId="9" fillId="0" borderId="17" xfId="5" applyNumberFormat="1" applyFont="1" applyFill="1" applyBorder="1" applyAlignment="1">
      <alignment horizontal="right" vertical="center" wrapText="1"/>
    </xf>
    <xf numFmtId="165" fontId="11" fillId="0" borderId="17" xfId="5" applyNumberFormat="1" applyFont="1" applyFill="1" applyBorder="1" applyAlignment="1">
      <alignment horizontal="right" vertical="center" wrapText="1"/>
    </xf>
    <xf numFmtId="165" fontId="7" fillId="0" borderId="17" xfId="5" applyNumberFormat="1" applyFont="1" applyFill="1" applyBorder="1" applyAlignment="1">
      <alignment horizontal="right" vertical="center" wrapText="1"/>
    </xf>
    <xf numFmtId="4" fontId="11" fillId="2" borderId="17" xfId="5" applyNumberFormat="1" applyFont="1" applyFill="1" applyBorder="1" applyAlignment="1">
      <alignment horizontal="right" vertical="center" wrapText="1"/>
    </xf>
    <xf numFmtId="165" fontId="13" fillId="2" borderId="17" xfId="3" applyNumberFormat="1" applyFont="1" applyFill="1" applyBorder="1" applyAlignment="1">
      <alignment horizontal="right" vertical="center" wrapText="1"/>
    </xf>
    <xf numFmtId="165" fontId="9" fillId="4" borderId="17" xfId="3" applyNumberFormat="1" applyFont="1" applyFill="1" applyBorder="1" applyAlignment="1">
      <alignment horizontal="right" vertical="center" wrapText="1"/>
    </xf>
    <xf numFmtId="166" fontId="11" fillId="0" borderId="17" xfId="4" applyNumberFormat="1" applyFont="1" applyFill="1" applyBorder="1" applyAlignment="1">
      <alignment horizontal="center" vertical="center"/>
    </xf>
    <xf numFmtId="166" fontId="11" fillId="0" borderId="17" xfId="4" applyNumberFormat="1" applyFont="1" applyFill="1" applyBorder="1" applyAlignment="1">
      <alignment horizontal="center" vertical="center" wrapText="1"/>
    </xf>
    <xf numFmtId="166" fontId="7" fillId="0" borderId="17" xfId="4" applyNumberFormat="1" applyFont="1" applyFill="1" applyBorder="1" applyAlignment="1">
      <alignment horizontal="center" vertical="center" wrapText="1"/>
    </xf>
    <xf numFmtId="166" fontId="9" fillId="0" borderId="17" xfId="4" applyNumberFormat="1" applyFont="1" applyFill="1" applyBorder="1" applyAlignment="1">
      <alignment horizontal="center" vertical="center" wrapText="1"/>
    </xf>
    <xf numFmtId="165" fontId="11" fillId="0" borderId="17" xfId="5" applyNumberFormat="1" applyFont="1" applyFill="1" applyBorder="1" applyAlignment="1">
      <alignment horizontal="right" vertical="top"/>
    </xf>
    <xf numFmtId="166" fontId="11" fillId="0" borderId="17" xfId="4" applyNumberFormat="1" applyFont="1" applyFill="1" applyBorder="1" applyAlignment="1">
      <alignment horizontal="right" vertical="center" wrapText="1"/>
    </xf>
    <xf numFmtId="166" fontId="11" fillId="0" borderId="17" xfId="4" applyNumberFormat="1" applyFont="1" applyFill="1" applyBorder="1" applyAlignment="1">
      <alignment horizontal="right" vertical="center"/>
    </xf>
    <xf numFmtId="166" fontId="13" fillId="0" borderId="17" xfId="4" applyNumberFormat="1" applyFont="1" applyFill="1" applyBorder="1" applyAlignment="1">
      <alignment horizontal="center" vertical="center" wrapText="1"/>
    </xf>
    <xf numFmtId="166" fontId="7" fillId="0" borderId="17" xfId="4" applyNumberFormat="1" applyFont="1" applyFill="1" applyBorder="1" applyAlignment="1">
      <alignment horizontal="center" vertical="center"/>
    </xf>
    <xf numFmtId="166" fontId="17" fillId="0" borderId="17" xfId="4" applyNumberFormat="1" applyFont="1" applyFill="1" applyBorder="1" applyAlignment="1">
      <alignment horizontal="center" vertical="center"/>
    </xf>
    <xf numFmtId="166" fontId="11" fillId="7" borderId="17" xfId="4" applyNumberFormat="1" applyFont="1" applyFill="1" applyBorder="1" applyAlignment="1">
      <alignment horizontal="center" vertical="center" wrapText="1"/>
    </xf>
    <xf numFmtId="166" fontId="7" fillId="7" borderId="17" xfId="4" applyNumberFormat="1" applyFont="1" applyFill="1" applyBorder="1" applyAlignment="1">
      <alignment horizontal="center" vertical="center"/>
    </xf>
    <xf numFmtId="166" fontId="11" fillId="7" borderId="17" xfId="4" applyNumberFormat="1" applyFont="1" applyFill="1" applyBorder="1" applyAlignment="1">
      <alignment horizontal="center" vertical="center"/>
    </xf>
    <xf numFmtId="166" fontId="14" fillId="0" borderId="17" xfId="4" applyNumberFormat="1" applyFont="1" applyFill="1" applyBorder="1" applyAlignment="1">
      <alignment horizontal="center" vertical="center"/>
    </xf>
    <xf numFmtId="166" fontId="11" fillId="7" borderId="17" xfId="4" applyNumberFormat="1" applyFont="1" applyFill="1" applyBorder="1" applyAlignment="1">
      <alignment horizontal="right" vertical="center" wrapText="1"/>
    </xf>
    <xf numFmtId="4" fontId="7" fillId="0" borderId="17" xfId="5" applyNumberFormat="1" applyFont="1" applyFill="1" applyBorder="1" applyAlignment="1">
      <alignment horizontal="right" vertical="center" wrapText="1"/>
    </xf>
    <xf numFmtId="166" fontId="7" fillId="0" borderId="17" xfId="4" applyNumberFormat="1" applyFont="1" applyFill="1" applyBorder="1" applyAlignment="1">
      <alignment horizontal="right" vertical="center" wrapText="1"/>
    </xf>
    <xf numFmtId="165" fontId="13" fillId="2" borderId="17" xfId="5" applyNumberFormat="1" applyFont="1" applyFill="1" applyBorder="1" applyAlignment="1">
      <alignment horizontal="right" vertical="top"/>
    </xf>
    <xf numFmtId="165" fontId="11" fillId="0" borderId="17" xfId="12" applyNumberFormat="1" applyFont="1" applyFill="1" applyBorder="1" applyAlignment="1">
      <alignment horizontal="right" vertical="center" wrapText="1"/>
    </xf>
    <xf numFmtId="165" fontId="7" fillId="0" borderId="17" xfId="5" applyNumberFormat="1" applyFont="1" applyFill="1" applyBorder="1" applyAlignment="1">
      <alignment horizontal="right" vertical="center"/>
    </xf>
    <xf numFmtId="165" fontId="17" fillId="0" borderId="17" xfId="5" applyNumberFormat="1" applyFont="1" applyFill="1" applyBorder="1" applyAlignment="1">
      <alignment horizontal="right" vertical="center"/>
    </xf>
    <xf numFmtId="165" fontId="17" fillId="0" borderId="17" xfId="12" applyNumberFormat="1" applyFont="1" applyFill="1" applyBorder="1" applyAlignment="1">
      <alignment horizontal="right" vertical="center" wrapText="1"/>
    </xf>
    <xf numFmtId="165" fontId="11" fillId="7" borderId="17" xfId="12" applyNumberFormat="1" applyFont="1" applyFill="1" applyBorder="1" applyAlignment="1">
      <alignment horizontal="right" vertical="center" wrapText="1"/>
    </xf>
    <xf numFmtId="165" fontId="13" fillId="2" borderId="17" xfId="3" applyNumberFormat="1" applyFont="1" applyFill="1" applyBorder="1" applyAlignment="1">
      <alignment horizontal="right" vertical="center"/>
    </xf>
    <xf numFmtId="165" fontId="11" fillId="0" borderId="17" xfId="1" applyNumberFormat="1" applyFont="1" applyFill="1" applyBorder="1" applyAlignment="1">
      <alignment horizontal="right" vertical="center" wrapText="1"/>
    </xf>
    <xf numFmtId="165" fontId="7" fillId="0" borderId="17" xfId="1" applyNumberFormat="1" applyFont="1" applyFill="1" applyBorder="1" applyAlignment="1">
      <alignment horizontal="right" vertical="center" wrapText="1"/>
    </xf>
    <xf numFmtId="165" fontId="18" fillId="2" borderId="17" xfId="1" applyNumberFormat="1" applyFont="1" applyFill="1" applyBorder="1" applyAlignment="1">
      <alignment horizontal="right" vertical="center" wrapText="1"/>
    </xf>
    <xf numFmtId="165" fontId="11" fillId="0" borderId="17" xfId="3" applyNumberFormat="1" applyFont="1" applyFill="1" applyBorder="1" applyAlignment="1">
      <alignment horizontal="right" vertical="center" wrapText="1"/>
    </xf>
    <xf numFmtId="165" fontId="11" fillId="7" borderId="17" xfId="5" applyNumberFormat="1" applyFont="1" applyFill="1" applyBorder="1" applyAlignment="1">
      <alignment horizontal="right" vertical="center" wrapText="1"/>
    </xf>
    <xf numFmtId="165" fontId="11" fillId="7" borderId="17" xfId="3" applyNumberFormat="1" applyFont="1" applyFill="1" applyBorder="1" applyAlignment="1">
      <alignment horizontal="right" vertical="center"/>
    </xf>
    <xf numFmtId="165" fontId="13" fillId="2" borderId="17" xfId="12" applyNumberFormat="1" applyFont="1" applyFill="1" applyBorder="1" applyAlignment="1">
      <alignment horizontal="right" vertical="center" wrapText="1"/>
    </xf>
    <xf numFmtId="165" fontId="11" fillId="0" borderId="17" xfId="5" applyNumberFormat="1" applyFont="1" applyFill="1" applyBorder="1" applyAlignment="1">
      <alignment horizontal="right" vertical="center"/>
    </xf>
    <xf numFmtId="165" fontId="13" fillId="0" borderId="17" xfId="3" applyNumberFormat="1" applyFont="1" applyFill="1" applyBorder="1" applyAlignment="1">
      <alignment horizontal="right" vertical="center" wrapText="1"/>
    </xf>
    <xf numFmtId="165" fontId="7" fillId="0" borderId="17" xfId="3" applyNumberFormat="1" applyFont="1" applyFill="1" applyBorder="1" applyAlignment="1">
      <alignment horizontal="right" vertical="center" wrapText="1"/>
    </xf>
    <xf numFmtId="165" fontId="11" fillId="2" borderId="17" xfId="3" applyNumberFormat="1" applyFont="1" applyFill="1" applyBorder="1" applyAlignment="1">
      <alignment horizontal="right" vertical="center" wrapText="1"/>
    </xf>
    <xf numFmtId="165" fontId="7" fillId="2" borderId="17" xfId="3" applyNumberFormat="1" applyFont="1" applyFill="1" applyBorder="1" applyAlignment="1">
      <alignment horizontal="right" vertical="center" wrapText="1"/>
    </xf>
    <xf numFmtId="43" fontId="9" fillId="5" borderId="11" xfId="1" applyNumberFormat="1" applyFont="1" applyFill="1" applyBorder="1" applyAlignment="1">
      <alignment horizontal="center" vertical="center" wrapText="1"/>
    </xf>
    <xf numFmtId="165" fontId="9" fillId="3" borderId="11" xfId="3" applyNumberFormat="1" applyFont="1" applyFill="1" applyBorder="1" applyAlignment="1">
      <alignment horizontal="center" vertical="center" wrapText="1"/>
    </xf>
    <xf numFmtId="3" fontId="11" fillId="0" borderId="0" xfId="1" applyNumberFormat="1" applyFont="1" applyFill="1" applyAlignment="1">
      <alignment vertical="center"/>
    </xf>
    <xf numFmtId="43" fontId="9" fillId="2" borderId="0" xfId="1" applyNumberFormat="1" applyFont="1" applyFill="1" applyAlignment="1">
      <alignment vertical="center"/>
    </xf>
    <xf numFmtId="165" fontId="9" fillId="3" borderId="88" xfId="3" applyNumberFormat="1" applyFont="1" applyFill="1" applyBorder="1" applyAlignment="1">
      <alignment horizontal="center" vertical="center" wrapText="1"/>
    </xf>
    <xf numFmtId="165" fontId="9" fillId="3" borderId="89" xfId="3" applyNumberFormat="1" applyFont="1" applyFill="1" applyBorder="1" applyAlignment="1">
      <alignment horizontal="center" vertical="center" wrapText="1"/>
    </xf>
    <xf numFmtId="0" fontId="20" fillId="2" borderId="0" xfId="1" applyNumberFormat="1" applyFont="1" applyFill="1" applyAlignment="1">
      <alignment horizontal="center"/>
    </xf>
    <xf numFmtId="0" fontId="20" fillId="2" borderId="0" xfId="1" applyNumberFormat="1" applyFont="1" applyFill="1" applyBorder="1" applyAlignment="1">
      <alignment horizontal="center" vertical="center"/>
    </xf>
    <xf numFmtId="0" fontId="8" fillId="2" borderId="0" xfId="1" applyNumberFormat="1" applyFont="1" applyFill="1" applyAlignment="1">
      <alignment horizontal="center" vertical="center"/>
    </xf>
    <xf numFmtId="165" fontId="11" fillId="0" borderId="0" xfId="3" applyNumberFormat="1" applyFont="1" applyFill="1" applyBorder="1" applyAlignment="1">
      <alignment horizontal="center" vertical="center"/>
    </xf>
    <xf numFmtId="166" fontId="7" fillId="11" borderId="25" xfId="4" applyNumberFormat="1" applyFont="1" applyFill="1" applyBorder="1" applyAlignment="1">
      <alignment horizontal="center" vertical="center" wrapText="1"/>
    </xf>
    <xf numFmtId="166" fontId="7" fillId="11" borderId="30" xfId="4" applyNumberFormat="1" applyFont="1" applyFill="1" applyBorder="1" applyAlignment="1">
      <alignment horizontal="center" vertical="center" wrapText="1"/>
    </xf>
    <xf numFmtId="166" fontId="7" fillId="11" borderId="25" xfId="4" applyNumberFormat="1" applyFont="1" applyFill="1" applyBorder="1" applyAlignment="1">
      <alignment horizontal="center" vertical="center"/>
    </xf>
    <xf numFmtId="166" fontId="7" fillId="11" borderId="30" xfId="4" applyNumberFormat="1" applyFont="1" applyFill="1" applyBorder="1" applyAlignment="1">
      <alignment horizontal="center" vertical="center"/>
    </xf>
    <xf numFmtId="0" fontId="7" fillId="11" borderId="25" xfId="5" applyFont="1" applyFill="1" applyBorder="1" applyAlignment="1">
      <alignment horizontal="right" vertical="top" wrapText="1"/>
    </xf>
    <xf numFmtId="0" fontId="7" fillId="11" borderId="27" xfId="5" applyFont="1" applyFill="1" applyBorder="1" applyAlignment="1">
      <alignment vertical="center" wrapText="1"/>
    </xf>
    <xf numFmtId="0" fontId="7" fillId="11" borderId="24" xfId="5" applyFont="1" applyFill="1" applyBorder="1" applyAlignment="1">
      <alignment vertical="center" wrapText="1"/>
    </xf>
    <xf numFmtId="2" fontId="7" fillId="11" borderId="24" xfId="8" applyNumberFormat="1" applyFont="1" applyFill="1" applyBorder="1" applyAlignment="1">
      <alignment horizontal="center" vertical="center"/>
    </xf>
    <xf numFmtId="4" fontId="11" fillId="11" borderId="29" xfId="5" applyNumberFormat="1" applyFont="1" applyFill="1" applyBorder="1" applyAlignment="1">
      <alignment horizontal="right" vertical="center" wrapText="1"/>
    </xf>
    <xf numFmtId="4" fontId="11" fillId="11" borderId="42" xfId="5" applyNumberFormat="1" applyFont="1" applyFill="1" applyBorder="1" applyAlignment="1">
      <alignment horizontal="right" vertical="center" wrapText="1"/>
    </xf>
    <xf numFmtId="164" fontId="9" fillId="2" borderId="0" xfId="1" applyNumberFormat="1" applyFont="1" applyFill="1" applyAlignment="1">
      <alignment horizontal="left" vertical="center"/>
    </xf>
    <xf numFmtId="41" fontId="9" fillId="2" borderId="0" xfId="1" applyNumberFormat="1" applyFont="1" applyFill="1" applyAlignment="1">
      <alignment vertical="center"/>
    </xf>
    <xf numFmtId="0" fontId="31" fillId="2" borderId="0" xfId="1" applyFont="1" applyFill="1" applyAlignment="1">
      <alignment horizontal="center" vertical="center"/>
    </xf>
    <xf numFmtId="0" fontId="32" fillId="2" borderId="0" xfId="1" applyFont="1" applyFill="1" applyAlignment="1">
      <alignment horizontal="center" vertical="center"/>
    </xf>
    <xf numFmtId="0" fontId="32" fillId="2" borderId="0" xfId="1" applyFont="1" applyFill="1" applyBorder="1" applyAlignment="1">
      <alignment horizontal="right" vertical="center"/>
    </xf>
    <xf numFmtId="0" fontId="32" fillId="2" borderId="0" xfId="1" applyFont="1" applyFill="1" applyAlignment="1">
      <alignment horizontal="left" vertical="center" wrapText="1"/>
    </xf>
    <xf numFmtId="0" fontId="32" fillId="2" borderId="0" xfId="2" applyNumberFormat="1" applyFont="1" applyFill="1" applyAlignment="1">
      <alignment horizontal="left" vertical="center" wrapText="1"/>
    </xf>
    <xf numFmtId="0" fontId="32" fillId="2" borderId="0" xfId="2" applyNumberFormat="1" applyFont="1" applyFill="1" applyAlignment="1">
      <alignment horizontal="center" vertical="center"/>
    </xf>
    <xf numFmtId="165" fontId="32" fillId="2" borderId="0" xfId="3" applyNumberFormat="1" applyFont="1" applyFill="1" applyAlignment="1">
      <alignment horizontal="right" vertical="center"/>
    </xf>
    <xf numFmtId="165" fontId="32" fillId="0" borderId="0" xfId="3" applyNumberFormat="1" applyFont="1" applyFill="1" applyBorder="1" applyAlignment="1">
      <alignment horizontal="right" vertical="center"/>
    </xf>
    <xf numFmtId="165" fontId="32" fillId="0" borderId="0" xfId="3" applyNumberFormat="1" applyFont="1" applyFill="1" applyBorder="1" applyAlignment="1">
      <alignment horizontal="center" vertical="center"/>
    </xf>
    <xf numFmtId="0" fontId="32" fillId="2" borderId="0" xfId="1" applyFont="1" applyFill="1" applyAlignment="1">
      <alignment vertical="center"/>
    </xf>
    <xf numFmtId="165" fontId="32" fillId="2" borderId="0" xfId="3" applyNumberFormat="1" applyFont="1" applyFill="1" applyAlignment="1">
      <alignment horizontal="center" vertical="center" wrapText="1"/>
    </xf>
    <xf numFmtId="0" fontId="13" fillId="2" borderId="43" xfId="1" quotePrefix="1" applyFont="1" applyFill="1" applyBorder="1" applyAlignment="1">
      <alignment horizontal="center" vertical="center" wrapText="1"/>
    </xf>
    <xf numFmtId="0" fontId="13" fillId="2" borderId="45" xfId="1" quotePrefix="1" applyFont="1" applyFill="1" applyBorder="1" applyAlignment="1">
      <alignment horizontal="center" vertical="center" wrapText="1"/>
    </xf>
    <xf numFmtId="0" fontId="11" fillId="2" borderId="25" xfId="1" applyFont="1" applyFill="1" applyBorder="1" applyAlignment="1">
      <alignment vertical="center" wrapText="1"/>
    </xf>
    <xf numFmtId="0" fontId="11" fillId="0" borderId="24" xfId="5" applyFont="1" applyFill="1" applyBorder="1" applyAlignment="1">
      <alignment horizontal="left" vertical="center" wrapText="1"/>
    </xf>
    <xf numFmtId="0" fontId="7" fillId="0" borderId="26" xfId="5" applyFont="1" applyFill="1" applyBorder="1" applyAlignment="1">
      <alignment vertical="center" wrapText="1"/>
    </xf>
    <xf numFmtId="3" fontId="11" fillId="0" borderId="24" xfId="1" applyNumberFormat="1" applyFont="1" applyFill="1" applyBorder="1" applyAlignment="1">
      <alignment horizontal="left" vertical="center" wrapText="1"/>
    </xf>
    <xf numFmtId="0" fontId="20" fillId="2" borderId="0" xfId="1" applyNumberFormat="1" applyFont="1" applyFill="1" applyAlignment="1">
      <alignment horizontal="center"/>
    </xf>
    <xf numFmtId="0" fontId="20" fillId="2" borderId="0" xfId="1" applyNumberFormat="1" applyFont="1" applyFill="1" applyBorder="1" applyAlignment="1">
      <alignment horizontal="center" vertical="center"/>
    </xf>
    <xf numFmtId="0" fontId="8" fillId="2" borderId="0" xfId="1" applyNumberFormat="1" applyFont="1" applyFill="1" applyAlignment="1">
      <alignment horizontal="center" vertical="center"/>
    </xf>
    <xf numFmtId="165" fontId="11" fillId="0" borderId="0" xfId="3" applyNumberFormat="1" applyFont="1" applyFill="1" applyBorder="1" applyAlignment="1">
      <alignment horizontal="center" vertical="center"/>
    </xf>
    <xf numFmtId="165" fontId="9" fillId="0" borderId="11" xfId="3" applyNumberFormat="1" applyFont="1" applyFill="1" applyBorder="1" applyAlignment="1">
      <alignment horizontal="right" vertical="center"/>
    </xf>
    <xf numFmtId="4" fontId="11" fillId="9" borderId="16" xfId="5" applyNumberFormat="1" applyFont="1" applyFill="1" applyBorder="1" applyAlignment="1">
      <alignment horizontal="right" vertical="center" wrapText="1"/>
    </xf>
    <xf numFmtId="4" fontId="11" fillId="9" borderId="11" xfId="5" applyNumberFormat="1" applyFont="1" applyFill="1" applyBorder="1" applyAlignment="1">
      <alignment horizontal="right" vertical="center" wrapText="1"/>
    </xf>
    <xf numFmtId="165" fontId="9" fillId="2" borderId="16" xfId="3" applyNumberFormat="1" applyFont="1" applyFill="1" applyBorder="1" applyAlignment="1">
      <alignment horizontal="right" vertical="center"/>
    </xf>
    <xf numFmtId="165" fontId="11" fillId="0" borderId="42" xfId="12" applyNumberFormat="1" applyFont="1" applyFill="1" applyBorder="1" applyAlignment="1">
      <alignment horizontal="center" vertical="center" wrapText="1"/>
    </xf>
    <xf numFmtId="165" fontId="11" fillId="0" borderId="30" xfId="12" applyNumberFormat="1" applyFont="1" applyFill="1" applyBorder="1" applyAlignment="1">
      <alignment horizontal="center" vertical="center" wrapText="1"/>
    </xf>
    <xf numFmtId="165" fontId="11" fillId="0" borderId="32" xfId="3" applyNumberFormat="1" applyFont="1" applyFill="1" applyBorder="1" applyAlignment="1">
      <alignment horizontal="center" vertical="center" wrapText="1"/>
    </xf>
    <xf numFmtId="165" fontId="11" fillId="0" borderId="30" xfId="5" applyNumberFormat="1" applyFont="1" applyFill="1" applyBorder="1" applyAlignment="1">
      <alignment horizontal="center" vertical="center" wrapText="1"/>
    </xf>
    <xf numFmtId="165" fontId="11" fillId="0" borderId="42" xfId="5" applyNumberFormat="1" applyFont="1" applyFill="1" applyBorder="1" applyAlignment="1">
      <alignment horizontal="center" vertical="center" wrapText="1"/>
    </xf>
    <xf numFmtId="165" fontId="11" fillId="0" borderId="42" xfId="3" applyNumberFormat="1" applyFont="1" applyFill="1" applyBorder="1" applyAlignment="1">
      <alignment horizontal="center" vertical="center" wrapText="1"/>
    </xf>
    <xf numFmtId="165" fontId="11" fillId="0" borderId="30" xfId="5" applyNumberFormat="1" applyFont="1" applyFill="1" applyBorder="1" applyAlignment="1">
      <alignment horizontal="center" vertical="top" wrapText="1"/>
    </xf>
    <xf numFmtId="165" fontId="7" fillId="11" borderId="39" xfId="5" applyNumberFormat="1" applyFont="1" applyFill="1" applyBorder="1" applyAlignment="1">
      <alignment horizontal="right" vertical="center" wrapText="1"/>
    </xf>
    <xf numFmtId="165" fontId="7" fillId="11" borderId="32" xfId="5" applyNumberFormat="1" applyFont="1" applyFill="1" applyBorder="1" applyAlignment="1">
      <alignment horizontal="right" vertical="center" wrapText="1"/>
    </xf>
    <xf numFmtId="0" fontId="13" fillId="2" borderId="43" xfId="1" quotePrefix="1" applyFont="1" applyFill="1" applyBorder="1" applyAlignment="1">
      <alignment horizontal="center" vertical="center" wrapText="1"/>
    </xf>
    <xf numFmtId="0" fontId="13" fillId="2" borderId="45" xfId="1" quotePrefix="1" applyFont="1" applyFill="1" applyBorder="1" applyAlignment="1">
      <alignment horizontal="center" vertical="center" wrapText="1"/>
    </xf>
    <xf numFmtId="0" fontId="11" fillId="0" borderId="24" xfId="5" applyFont="1" applyFill="1" applyBorder="1" applyAlignment="1">
      <alignment horizontal="left" vertical="center" wrapText="1"/>
    </xf>
    <xf numFmtId="0" fontId="7" fillId="0" borderId="27" xfId="5" applyFont="1" applyFill="1" applyBorder="1" applyAlignment="1">
      <alignment vertical="center" wrapText="1"/>
    </xf>
    <xf numFmtId="0" fontId="20" fillId="2" borderId="0" xfId="1" applyNumberFormat="1" applyFont="1" applyFill="1" applyAlignment="1">
      <alignment horizontal="center"/>
    </xf>
    <xf numFmtId="0" fontId="20" fillId="2" borderId="0" xfId="1" applyNumberFormat="1" applyFont="1" applyFill="1" applyBorder="1" applyAlignment="1">
      <alignment horizontal="center" vertical="center"/>
    </xf>
    <xf numFmtId="0" fontId="20" fillId="2" borderId="0" xfId="1" applyNumberFormat="1" applyFont="1" applyFill="1" applyBorder="1" applyAlignment="1">
      <alignment horizontal="left"/>
    </xf>
    <xf numFmtId="0" fontId="8" fillId="2" borderId="0" xfId="1" applyNumberFormat="1" applyFont="1" applyFill="1" applyAlignment="1">
      <alignment horizontal="center" vertical="center"/>
    </xf>
    <xf numFmtId="165" fontId="11" fillId="0" borderId="0" xfId="3" applyNumberFormat="1" applyFont="1" applyFill="1" applyBorder="1" applyAlignment="1">
      <alignment horizontal="center" vertical="center"/>
    </xf>
    <xf numFmtId="0" fontId="20" fillId="2" borderId="0" xfId="1" applyNumberFormat="1" applyFont="1" applyFill="1" applyAlignment="1">
      <alignment horizontal="center"/>
    </xf>
    <xf numFmtId="0" fontId="20" fillId="2" borderId="0" xfId="1" applyNumberFormat="1" applyFont="1" applyFill="1" applyBorder="1" applyAlignment="1">
      <alignment horizontal="left"/>
    </xf>
    <xf numFmtId="0" fontId="11" fillId="0" borderId="24" xfId="5" applyFont="1" applyFill="1" applyBorder="1" applyAlignment="1">
      <alignment horizontal="left" vertical="center" wrapText="1"/>
    </xf>
    <xf numFmtId="0" fontId="8" fillId="2" borderId="0" xfId="1" applyNumberFormat="1" applyFont="1" applyFill="1" applyAlignment="1">
      <alignment horizontal="center" vertical="center"/>
    </xf>
    <xf numFmtId="0" fontId="14" fillId="0" borderId="25" xfId="5" quotePrefix="1" applyFont="1" applyFill="1" applyBorder="1" applyAlignment="1">
      <alignment horizontal="left" vertical="top" wrapText="1" indent="1"/>
    </xf>
    <xf numFmtId="0" fontId="14" fillId="0" borderId="24" xfId="5" applyFont="1" applyFill="1" applyBorder="1" applyAlignment="1">
      <alignment vertical="center" wrapText="1"/>
    </xf>
    <xf numFmtId="0" fontId="17" fillId="0" borderId="25" xfId="5" applyFont="1" applyFill="1" applyBorder="1" applyAlignment="1">
      <alignment horizontal="center" vertical="center" wrapText="1"/>
    </xf>
    <xf numFmtId="0" fontId="17" fillId="0" borderId="25" xfId="5" quotePrefix="1" applyFont="1" applyFill="1" applyBorder="1" applyAlignment="1">
      <alignment horizontal="left" vertical="top" wrapText="1" indent="1"/>
    </xf>
    <xf numFmtId="166" fontId="7" fillId="12" borderId="25" xfId="4" applyNumberFormat="1" applyFont="1" applyFill="1" applyBorder="1" applyAlignment="1">
      <alignment horizontal="center" vertical="center" wrapText="1"/>
    </xf>
    <xf numFmtId="2" fontId="7" fillId="0" borderId="24" xfId="1" quotePrefix="1" applyNumberFormat="1" applyFont="1" applyBorder="1" applyAlignment="1">
      <alignment horizontal="center" vertical="center" wrapText="1"/>
    </xf>
    <xf numFmtId="3" fontId="33" fillId="0" borderId="27" xfId="1" applyNumberFormat="1" applyFont="1" applyFill="1" applyBorder="1" applyAlignment="1">
      <alignment horizontal="left" vertical="center" wrapText="1"/>
    </xf>
    <xf numFmtId="0" fontId="11" fillId="0" borderId="24" xfId="5" applyFont="1" applyFill="1" applyBorder="1" applyAlignment="1">
      <alignment horizontal="left" vertical="center" wrapText="1"/>
    </xf>
    <xf numFmtId="0" fontId="20" fillId="2" borderId="0" xfId="1" applyNumberFormat="1" applyFont="1" applyFill="1" applyAlignment="1">
      <alignment horizontal="center"/>
    </xf>
    <xf numFmtId="0" fontId="20" fillId="2" borderId="0" xfId="1" applyNumberFormat="1" applyFont="1" applyFill="1" applyBorder="1" applyAlignment="1">
      <alignment horizontal="left"/>
    </xf>
    <xf numFmtId="0" fontId="8" fillId="2" borderId="0" xfId="1" applyNumberFormat="1" applyFont="1" applyFill="1" applyAlignment="1">
      <alignment horizontal="center" vertical="center"/>
    </xf>
    <xf numFmtId="0" fontId="35" fillId="0" borderId="0" xfId="0" applyFont="1"/>
    <xf numFmtId="0" fontId="37" fillId="0" borderId="0" xfId="0" applyFont="1"/>
    <xf numFmtId="0" fontId="37" fillId="13" borderId="84" xfId="0" applyFont="1" applyFill="1" applyBorder="1" applyAlignment="1">
      <alignment horizontal="center" vertical="center" wrapText="1"/>
    </xf>
    <xf numFmtId="0" fontId="37" fillId="13" borderId="84" xfId="0" applyFont="1" applyFill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20" xfId="0" applyFont="1" applyBorder="1" applyAlignment="1">
      <alignment horizontal="center" vertical="center"/>
    </xf>
    <xf numFmtId="0" fontId="35" fillId="0" borderId="17" xfId="0" applyFont="1" applyBorder="1" applyAlignment="1">
      <alignment vertical="center"/>
    </xf>
    <xf numFmtId="0" fontId="35" fillId="0" borderId="17" xfId="0" applyFont="1" applyBorder="1" applyAlignment="1">
      <alignment horizontal="center" vertical="center"/>
    </xf>
    <xf numFmtId="0" fontId="35" fillId="0" borderId="11" xfId="0" applyFont="1" applyBorder="1" applyAlignment="1">
      <alignment vertical="center"/>
    </xf>
    <xf numFmtId="0" fontId="35" fillId="0" borderId="84" xfId="0" applyFont="1" applyBorder="1" applyAlignment="1">
      <alignment horizontal="center" vertical="center"/>
    </xf>
    <xf numFmtId="0" fontId="35" fillId="0" borderId="66" xfId="0" applyFont="1" applyBorder="1" applyAlignment="1">
      <alignment vertical="center"/>
    </xf>
    <xf numFmtId="0" fontId="33" fillId="0" borderId="26" xfId="5" applyFont="1" applyFill="1" applyBorder="1" applyAlignment="1">
      <alignment vertical="center" wrapText="1"/>
    </xf>
    <xf numFmtId="3" fontId="38" fillId="0" borderId="24" xfId="1" applyNumberFormat="1" applyFont="1" applyFill="1" applyBorder="1" applyAlignment="1">
      <alignment horizontal="left" vertical="center" wrapText="1"/>
    </xf>
    <xf numFmtId="0" fontId="38" fillId="0" borderId="24" xfId="5" quotePrefix="1" applyFont="1" applyFill="1" applyBorder="1" applyAlignment="1">
      <alignment vertical="center" wrapText="1"/>
    </xf>
    <xf numFmtId="0" fontId="38" fillId="0" borderId="26" xfId="5" applyFont="1" applyFill="1" applyBorder="1" applyAlignment="1">
      <alignment vertical="center" wrapText="1"/>
    </xf>
    <xf numFmtId="0" fontId="38" fillId="0" borderId="24" xfId="2" applyNumberFormat="1" applyFont="1" applyFill="1" applyBorder="1" applyAlignment="1">
      <alignment horizontal="left" vertical="center" wrapText="1"/>
    </xf>
    <xf numFmtId="3" fontId="38" fillId="0" borderId="34" xfId="1" applyNumberFormat="1" applyFont="1" applyFill="1" applyBorder="1" applyAlignment="1">
      <alignment horizontal="left" vertical="center" wrapText="1"/>
    </xf>
    <xf numFmtId="0" fontId="38" fillId="0" borderId="34" xfId="6" applyNumberFormat="1" applyFont="1" applyFill="1" applyBorder="1" applyAlignment="1">
      <alignment horizontal="left" vertical="center" wrapText="1"/>
    </xf>
    <xf numFmtId="0" fontId="38" fillId="2" borderId="34" xfId="6" applyNumberFormat="1" applyFont="1" applyFill="1" applyBorder="1" applyAlignment="1">
      <alignment horizontal="left" vertical="center" wrapText="1"/>
    </xf>
    <xf numFmtId="0" fontId="38" fillId="0" borderId="24" xfId="5" applyFont="1" applyBorder="1" applyAlignment="1">
      <alignment horizontal="left" vertical="center" wrapText="1"/>
    </xf>
    <xf numFmtId="0" fontId="33" fillId="0" borderId="27" xfId="5" applyFont="1" applyFill="1" applyBorder="1" applyAlignment="1">
      <alignment horizontal="left" vertical="center" wrapText="1"/>
    </xf>
    <xf numFmtId="0" fontId="39" fillId="0" borderId="0" xfId="1" applyFont="1" applyFill="1" applyAlignment="1">
      <alignment horizontal="center" vertical="center"/>
    </xf>
    <xf numFmtId="0" fontId="33" fillId="0" borderId="23" xfId="1" applyFont="1" applyFill="1" applyBorder="1" applyAlignment="1">
      <alignment horizontal="center" vertical="center"/>
    </xf>
    <xf numFmtId="0" fontId="33" fillId="0" borderId="24" xfId="1" quotePrefix="1" applyFont="1" applyFill="1" applyBorder="1" applyAlignment="1">
      <alignment horizontal="center" vertical="center" wrapText="1"/>
    </xf>
    <xf numFmtId="0" fontId="33" fillId="0" borderId="24" xfId="5" applyFont="1" applyBorder="1" applyAlignment="1">
      <alignment horizontal="center" vertical="center" wrapText="1"/>
    </xf>
    <xf numFmtId="0" fontId="33" fillId="0" borderId="25" xfId="5" applyFont="1" applyBorder="1" applyAlignment="1">
      <alignment horizontal="left" vertical="top" wrapText="1" indent="1"/>
    </xf>
    <xf numFmtId="0" fontId="33" fillId="0" borderId="27" xfId="2" applyNumberFormat="1" applyFont="1" applyFill="1" applyBorder="1" applyAlignment="1">
      <alignment horizontal="left" vertical="center" wrapText="1"/>
    </xf>
    <xf numFmtId="0" fontId="33" fillId="0" borderId="24" xfId="5" applyFont="1" applyBorder="1" applyAlignment="1">
      <alignment vertical="center" wrapText="1"/>
    </xf>
    <xf numFmtId="2" fontId="33" fillId="0" borderId="24" xfId="1" applyNumberFormat="1" applyFont="1" applyFill="1" applyBorder="1" applyAlignment="1">
      <alignment horizontal="center" vertical="center" wrapText="1"/>
    </xf>
    <xf numFmtId="166" fontId="33" fillId="0" borderId="25" xfId="4" applyNumberFormat="1" applyFont="1" applyFill="1" applyBorder="1" applyAlignment="1">
      <alignment horizontal="center" vertical="center"/>
    </xf>
    <xf numFmtId="166" fontId="33" fillId="0" borderId="30" xfId="4" applyNumberFormat="1" applyFont="1" applyFill="1" applyBorder="1" applyAlignment="1">
      <alignment horizontal="center" vertical="center"/>
    </xf>
    <xf numFmtId="166" fontId="33" fillId="0" borderId="0" xfId="4" applyNumberFormat="1" applyFont="1" applyFill="1" applyBorder="1" applyAlignment="1">
      <alignment horizontal="center" vertical="center"/>
    </xf>
    <xf numFmtId="2" fontId="33" fillId="0" borderId="30" xfId="1" applyNumberFormat="1" applyFont="1" applyFill="1" applyBorder="1" applyAlignment="1">
      <alignment horizontal="center" vertical="center" wrapText="1"/>
    </xf>
    <xf numFmtId="0" fontId="33" fillId="0" borderId="0" xfId="1" applyFont="1" applyFill="1" applyAlignment="1">
      <alignment vertical="center"/>
    </xf>
    <xf numFmtId="0" fontId="33" fillId="0" borderId="25" xfId="5" applyFont="1" applyBorder="1" applyAlignment="1">
      <alignment horizontal="left" vertical="center" wrapText="1" indent="1"/>
    </xf>
    <xf numFmtId="0" fontId="33" fillId="0" borderId="27" xfId="1" applyFont="1" applyFill="1" applyBorder="1" applyAlignment="1">
      <alignment horizontal="left" vertical="center" wrapText="1"/>
    </xf>
    <xf numFmtId="164" fontId="33" fillId="0" borderId="0" xfId="4" applyFont="1" applyFill="1" applyAlignment="1">
      <alignment vertical="center"/>
    </xf>
    <xf numFmtId="0" fontId="40" fillId="0" borderId="0" xfId="1" applyFont="1" applyFill="1" applyAlignment="1">
      <alignment horizontal="center" vertical="center"/>
    </xf>
    <xf numFmtId="0" fontId="41" fillId="0" borderId="23" xfId="1" applyFont="1" applyFill="1" applyBorder="1" applyAlignment="1">
      <alignment horizontal="center" vertical="center"/>
    </xf>
    <xf numFmtId="0" fontId="41" fillId="0" borderId="24" xfId="1" quotePrefix="1" applyFont="1" applyFill="1" applyBorder="1" applyAlignment="1">
      <alignment horizontal="center" vertical="center" wrapText="1"/>
    </xf>
    <xf numFmtId="0" fontId="41" fillId="0" borderId="24" xfId="5" applyFont="1" applyBorder="1" applyAlignment="1">
      <alignment horizontal="center" vertical="center" wrapText="1"/>
    </xf>
    <xf numFmtId="0" fontId="41" fillId="0" borderId="25" xfId="5" applyFont="1" applyBorder="1" applyAlignment="1">
      <alignment horizontal="left" vertical="center" wrapText="1" indent="1"/>
    </xf>
    <xf numFmtId="0" fontId="41" fillId="0" borderId="27" xfId="1" applyFont="1" applyFill="1" applyBorder="1" applyAlignment="1">
      <alignment horizontal="left" vertical="center" wrapText="1"/>
    </xf>
    <xf numFmtId="0" fontId="41" fillId="0" borderId="24" xfId="5" applyFont="1" applyBorder="1" applyAlignment="1">
      <alignment vertical="center" wrapText="1"/>
    </xf>
    <xf numFmtId="2" fontId="41" fillId="0" borderId="24" xfId="1" applyNumberFormat="1" applyFont="1" applyFill="1" applyBorder="1" applyAlignment="1">
      <alignment horizontal="center" vertical="center" wrapText="1"/>
    </xf>
    <xf numFmtId="166" fontId="41" fillId="0" borderId="25" xfId="4" applyNumberFormat="1" applyFont="1" applyFill="1" applyBorder="1" applyAlignment="1">
      <alignment horizontal="center" vertical="center"/>
    </xf>
    <xf numFmtId="166" fontId="41" fillId="0" borderId="30" xfId="4" applyNumberFormat="1" applyFont="1" applyFill="1" applyBorder="1" applyAlignment="1">
      <alignment horizontal="center" vertical="center"/>
    </xf>
    <xf numFmtId="166" fontId="41" fillId="0" borderId="0" xfId="4" applyNumberFormat="1" applyFont="1" applyFill="1" applyBorder="1" applyAlignment="1">
      <alignment horizontal="center" vertical="center"/>
    </xf>
    <xf numFmtId="164" fontId="41" fillId="0" borderId="30" xfId="4" applyFont="1" applyFill="1" applyBorder="1" applyAlignment="1">
      <alignment horizontal="center" vertical="center"/>
    </xf>
    <xf numFmtId="164" fontId="41" fillId="0" borderId="0" xfId="4" applyFont="1" applyFill="1" applyAlignment="1">
      <alignment vertical="center"/>
    </xf>
    <xf numFmtId="0" fontId="41" fillId="0" borderId="0" xfId="1" applyFont="1" applyFill="1" applyAlignment="1">
      <alignment vertical="center"/>
    </xf>
    <xf numFmtId="0" fontId="33" fillId="0" borderId="30" xfId="1" applyFont="1" applyFill="1" applyBorder="1" applyAlignment="1">
      <alignment horizontal="center" vertical="center"/>
    </xf>
    <xf numFmtId="0" fontId="42" fillId="0" borderId="0" xfId="1" applyFont="1" applyFill="1" applyAlignment="1">
      <alignment horizontal="center" vertical="center"/>
    </xf>
    <xf numFmtId="0" fontId="33" fillId="0" borderId="27" xfId="2" applyNumberFormat="1" applyFont="1" applyFill="1" applyBorder="1" applyAlignment="1">
      <alignment horizontal="left" vertical="top" wrapText="1"/>
    </xf>
    <xf numFmtId="2" fontId="33" fillId="0" borderId="24" xfId="1" applyNumberFormat="1" applyFont="1" applyBorder="1" applyAlignment="1">
      <alignment horizontal="center" vertical="center" wrapText="1"/>
    </xf>
    <xf numFmtId="2" fontId="33" fillId="0" borderId="24" xfId="5" applyNumberFormat="1" applyFont="1" applyBorder="1" applyAlignment="1">
      <alignment vertical="center" wrapText="1"/>
    </xf>
    <xf numFmtId="166" fontId="33" fillId="7" borderId="0" xfId="4" applyNumberFormat="1" applyFont="1" applyFill="1" applyBorder="1" applyAlignment="1">
      <alignment horizontal="center" vertical="center"/>
    </xf>
    <xf numFmtId="0" fontId="43" fillId="0" borderId="0" xfId="1" applyFont="1" applyFill="1" applyAlignment="1">
      <alignment horizontal="center" vertical="center"/>
    </xf>
    <xf numFmtId="0" fontId="33" fillId="0" borderId="25" xfId="5" applyFont="1" applyBorder="1" applyAlignment="1">
      <alignment horizontal="center" vertical="center" wrapText="1"/>
    </xf>
    <xf numFmtId="0" fontId="33" fillId="0" borderId="25" xfId="5" quotePrefix="1" applyFont="1" applyBorder="1" applyAlignment="1">
      <alignment horizontal="left" vertical="center" wrapText="1" indent="1"/>
    </xf>
    <xf numFmtId="0" fontId="44" fillId="0" borderId="23" xfId="1" applyFont="1" applyFill="1" applyBorder="1" applyAlignment="1">
      <alignment horizontal="center" vertical="center"/>
    </xf>
    <xf numFmtId="0" fontId="44" fillId="0" borderId="24" xfId="1" quotePrefix="1" applyFont="1" applyFill="1" applyBorder="1" applyAlignment="1">
      <alignment horizontal="center" vertical="center" wrapText="1"/>
    </xf>
    <xf numFmtId="166" fontId="44" fillId="0" borderId="0" xfId="4" applyNumberFormat="1" applyFont="1" applyFill="1" applyBorder="1" applyAlignment="1">
      <alignment horizontal="center" vertical="center"/>
    </xf>
    <xf numFmtId="0" fontId="44" fillId="0" borderId="30" xfId="1" applyFont="1" applyFill="1" applyBorder="1" applyAlignment="1">
      <alignment horizontal="center" vertical="center"/>
    </xf>
    <xf numFmtId="0" fontId="44" fillId="0" borderId="0" xfId="1" applyFont="1" applyFill="1" applyAlignment="1">
      <alignment vertical="center"/>
    </xf>
    <xf numFmtId="0" fontId="33" fillId="0" borderId="24" xfId="5" quotePrefix="1" applyFont="1" applyBorder="1" applyAlignment="1">
      <alignment horizontal="center" vertical="center" wrapText="1"/>
    </xf>
    <xf numFmtId="0" fontId="33" fillId="0" borderId="25" xfId="5" applyFont="1" applyFill="1" applyBorder="1" applyAlignment="1">
      <alignment horizontal="center" vertical="center" wrapText="1"/>
    </xf>
    <xf numFmtId="0" fontId="33" fillId="0" borderId="25" xfId="5" quotePrefix="1" applyFont="1" applyFill="1" applyBorder="1" applyAlignment="1">
      <alignment horizontal="left" vertical="top" wrapText="1" indent="1"/>
    </xf>
    <xf numFmtId="0" fontId="33" fillId="0" borderId="24" xfId="5" applyFont="1" applyFill="1" applyBorder="1" applyAlignment="1">
      <alignment vertical="center" wrapText="1"/>
    </xf>
    <xf numFmtId="0" fontId="33" fillId="0" borderId="25" xfId="5" quotePrefix="1" applyFont="1" applyBorder="1" applyAlignment="1">
      <alignment horizontal="left" vertical="top" wrapText="1" indent="1"/>
    </xf>
    <xf numFmtId="2" fontId="33" fillId="0" borderId="34" xfId="1" quotePrefix="1" applyNumberFormat="1" applyFont="1" applyBorder="1" applyAlignment="1">
      <alignment horizontal="center" vertical="center" wrapText="1"/>
    </xf>
    <xf numFmtId="166" fontId="33" fillId="0" borderId="25" xfId="4" applyNumberFormat="1" applyFont="1" applyFill="1" applyBorder="1" applyAlignment="1">
      <alignment horizontal="center" vertical="center" wrapText="1"/>
    </xf>
    <xf numFmtId="166" fontId="33" fillId="11" borderId="25" xfId="4" applyNumberFormat="1" applyFont="1" applyFill="1" applyBorder="1" applyAlignment="1">
      <alignment horizontal="center" vertical="center" wrapText="1"/>
    </xf>
    <xf numFmtId="166" fontId="33" fillId="0" borderId="30" xfId="4" applyNumberFormat="1" applyFont="1" applyFill="1" applyBorder="1" applyAlignment="1">
      <alignment horizontal="center" vertical="center" wrapText="1"/>
    </xf>
    <xf numFmtId="166" fontId="33" fillId="0" borderId="0" xfId="4" applyNumberFormat="1" applyFont="1" applyFill="1" applyBorder="1" applyAlignment="1">
      <alignment horizontal="center" vertical="center" wrapText="1"/>
    </xf>
    <xf numFmtId="0" fontId="33" fillId="0" borderId="25" xfId="5" applyFont="1" applyBorder="1" applyAlignment="1">
      <alignment horizontal="center" vertical="top" wrapText="1"/>
    </xf>
    <xf numFmtId="2" fontId="33" fillId="0" borderId="34" xfId="1" applyNumberFormat="1" applyFont="1" applyBorder="1" applyAlignment="1">
      <alignment horizontal="center" vertical="center" wrapText="1"/>
    </xf>
    <xf numFmtId="4" fontId="33" fillId="0" borderId="25" xfId="5" applyNumberFormat="1" applyFont="1" applyFill="1" applyBorder="1" applyAlignment="1">
      <alignment horizontal="right" vertical="center" wrapText="1"/>
    </xf>
    <xf numFmtId="4" fontId="33" fillId="0" borderId="30" xfId="5" applyNumberFormat="1" applyFont="1" applyFill="1" applyBorder="1" applyAlignment="1">
      <alignment horizontal="right" vertical="center" wrapText="1"/>
    </xf>
    <xf numFmtId="4" fontId="33" fillId="0" borderId="0" xfId="5" applyNumberFormat="1" applyFont="1" applyFill="1" applyBorder="1" applyAlignment="1">
      <alignment horizontal="right" vertical="center" wrapText="1"/>
    </xf>
    <xf numFmtId="4" fontId="33" fillId="0" borderId="0" xfId="5" applyNumberFormat="1" applyFont="1" applyFill="1" applyBorder="1" applyAlignment="1">
      <alignment horizontal="center" vertical="center" wrapText="1"/>
    </xf>
    <xf numFmtId="0" fontId="33" fillId="0" borderId="27" xfId="5" applyFont="1" applyBorder="1" applyAlignment="1">
      <alignment horizontal="left" vertical="top" wrapText="1"/>
    </xf>
    <xf numFmtId="167" fontId="33" fillId="0" borderId="24" xfId="5" applyNumberFormat="1" applyFont="1" applyFill="1" applyBorder="1" applyAlignment="1">
      <alignment horizontal="center" vertical="center"/>
    </xf>
    <xf numFmtId="3" fontId="33" fillId="0" borderId="25" xfId="5" applyNumberFormat="1" applyFont="1" applyFill="1" applyBorder="1" applyAlignment="1">
      <alignment horizontal="right" vertical="top" wrapText="1"/>
    </xf>
    <xf numFmtId="166" fontId="33" fillId="0" borderId="25" xfId="4" applyNumberFormat="1" applyFont="1" applyFill="1" applyBorder="1" applyAlignment="1">
      <alignment horizontal="right" vertical="center" wrapText="1"/>
    </xf>
    <xf numFmtId="166" fontId="33" fillId="0" borderId="30" xfId="4" applyNumberFormat="1" applyFont="1" applyFill="1" applyBorder="1" applyAlignment="1">
      <alignment horizontal="right" vertical="center" wrapText="1"/>
    </xf>
    <xf numFmtId="166" fontId="33" fillId="0" borderId="0" xfId="4" applyNumberFormat="1" applyFont="1" applyFill="1" applyBorder="1" applyAlignment="1">
      <alignment horizontal="right" vertical="center" wrapText="1"/>
    </xf>
    <xf numFmtId="0" fontId="33" fillId="2" borderId="0" xfId="1" applyFont="1" applyFill="1" applyAlignment="1">
      <alignment horizontal="center" vertical="center"/>
    </xf>
    <xf numFmtId="0" fontId="33" fillId="0" borderId="41" xfId="1" quotePrefix="1" applyFont="1" applyFill="1" applyBorder="1" applyAlignment="1">
      <alignment horizontal="center" vertical="center"/>
    </xf>
    <xf numFmtId="0" fontId="33" fillId="0" borderId="28" xfId="1" quotePrefix="1" applyFont="1" applyFill="1" applyBorder="1" applyAlignment="1">
      <alignment horizontal="center" vertical="center" wrapText="1"/>
    </xf>
    <xf numFmtId="0" fontId="33" fillId="2" borderId="28" xfId="1" quotePrefix="1" applyFont="1" applyFill="1" applyBorder="1" applyAlignment="1">
      <alignment horizontal="center" vertical="center" wrapText="1"/>
    </xf>
    <xf numFmtId="0" fontId="33" fillId="2" borderId="39" xfId="5" applyFont="1" applyFill="1" applyBorder="1" applyAlignment="1">
      <alignment horizontal="left" vertical="center" wrapText="1"/>
    </xf>
    <xf numFmtId="0" fontId="33" fillId="2" borderId="22" xfId="5" applyFont="1" applyFill="1" applyBorder="1" applyAlignment="1">
      <alignment horizontal="left" vertical="center" wrapText="1"/>
    </xf>
    <xf numFmtId="0" fontId="33" fillId="2" borderId="28" xfId="5" applyFont="1" applyFill="1" applyBorder="1" applyAlignment="1">
      <alignment horizontal="left" vertical="top" wrapText="1"/>
    </xf>
    <xf numFmtId="9" fontId="33" fillId="2" borderId="28" xfId="5" applyNumberFormat="1" applyFont="1" applyFill="1" applyBorder="1" applyAlignment="1">
      <alignment horizontal="center" vertical="center"/>
    </xf>
    <xf numFmtId="165" fontId="33" fillId="0" borderId="29" xfId="5" applyNumberFormat="1" applyFont="1" applyFill="1" applyBorder="1" applyAlignment="1">
      <alignment horizontal="right" vertical="center"/>
    </xf>
    <xf numFmtId="165" fontId="33" fillId="0" borderId="42" xfId="5" applyNumberFormat="1" applyFont="1" applyFill="1" applyBorder="1" applyAlignment="1">
      <alignment horizontal="right" vertical="center"/>
    </xf>
    <xf numFmtId="165" fontId="33" fillId="0" borderId="0" xfId="5" applyNumberFormat="1" applyFont="1" applyFill="1" applyBorder="1" applyAlignment="1">
      <alignment horizontal="right" vertical="center"/>
    </xf>
    <xf numFmtId="165" fontId="33" fillId="0" borderId="0" xfId="5" applyNumberFormat="1" applyFont="1" applyFill="1" applyBorder="1" applyAlignment="1">
      <alignment horizontal="right" vertical="top"/>
    </xf>
    <xf numFmtId="165" fontId="33" fillId="0" borderId="0" xfId="5" applyNumberFormat="1" applyFont="1" applyFill="1" applyBorder="1" applyAlignment="1">
      <alignment horizontal="center" vertical="center"/>
    </xf>
    <xf numFmtId="0" fontId="33" fillId="2" borderId="0" xfId="1" applyFont="1" applyFill="1" applyAlignment="1">
      <alignment vertical="center"/>
    </xf>
    <xf numFmtId="0" fontId="41" fillId="2" borderId="0" xfId="1" applyFont="1" applyFill="1" applyAlignment="1">
      <alignment horizontal="center" vertical="center"/>
    </xf>
    <xf numFmtId="0" fontId="41" fillId="0" borderId="41" xfId="1" quotePrefix="1" applyFont="1" applyFill="1" applyBorder="1" applyAlignment="1">
      <alignment horizontal="center" vertical="center"/>
    </xf>
    <xf numFmtId="0" fontId="41" fillId="0" borderId="28" xfId="1" quotePrefix="1" applyFont="1" applyFill="1" applyBorder="1" applyAlignment="1">
      <alignment horizontal="center" vertical="center" wrapText="1"/>
    </xf>
    <xf numFmtId="0" fontId="41" fillId="2" borderId="28" xfId="1" quotePrefix="1" applyFont="1" applyFill="1" applyBorder="1" applyAlignment="1">
      <alignment horizontal="center" vertical="center" wrapText="1"/>
    </xf>
    <xf numFmtId="0" fontId="41" fillId="2" borderId="39" xfId="5" applyFont="1" applyFill="1" applyBorder="1" applyAlignment="1">
      <alignment horizontal="left" vertical="center" wrapText="1"/>
    </xf>
    <xf numFmtId="0" fontId="41" fillId="2" borderId="22" xfId="5" applyFont="1" applyFill="1" applyBorder="1" applyAlignment="1">
      <alignment horizontal="left" vertical="center" wrapText="1"/>
    </xf>
    <xf numFmtId="0" fontId="41" fillId="2" borderId="28" xfId="5" applyFont="1" applyFill="1" applyBorder="1" applyAlignment="1">
      <alignment horizontal="left" vertical="top" wrapText="1"/>
    </xf>
    <xf numFmtId="9" fontId="41" fillId="2" borderId="28" xfId="5" applyNumberFormat="1" applyFont="1" applyFill="1" applyBorder="1" applyAlignment="1">
      <alignment horizontal="center" vertical="center"/>
    </xf>
    <xf numFmtId="165" fontId="41" fillId="0" borderId="29" xfId="5" applyNumberFormat="1" applyFont="1" applyFill="1" applyBorder="1" applyAlignment="1">
      <alignment horizontal="right" vertical="center"/>
    </xf>
    <xf numFmtId="165" fontId="41" fillId="0" borderId="42" xfId="5" applyNumberFormat="1" applyFont="1" applyFill="1" applyBorder="1" applyAlignment="1">
      <alignment horizontal="right" vertical="center"/>
    </xf>
    <xf numFmtId="165" fontId="41" fillId="0" borderId="0" xfId="5" applyNumberFormat="1" applyFont="1" applyFill="1" applyBorder="1" applyAlignment="1">
      <alignment horizontal="right" vertical="center"/>
    </xf>
    <xf numFmtId="165" fontId="41" fillId="0" borderId="0" xfId="5" applyNumberFormat="1" applyFont="1" applyFill="1" applyBorder="1" applyAlignment="1">
      <alignment horizontal="right" vertical="top"/>
    </xf>
    <xf numFmtId="0" fontId="41" fillId="0" borderId="30" xfId="1" applyFont="1" applyFill="1" applyBorder="1" applyAlignment="1">
      <alignment horizontal="center" vertical="center"/>
    </xf>
    <xf numFmtId="165" fontId="41" fillId="0" borderId="0" xfId="5" applyNumberFormat="1" applyFont="1" applyFill="1" applyBorder="1" applyAlignment="1">
      <alignment horizontal="center" vertical="center"/>
    </xf>
    <xf numFmtId="0" fontId="41" fillId="2" borderId="0" xfId="1" applyFont="1" applyFill="1" applyAlignment="1">
      <alignment vertical="center"/>
    </xf>
    <xf numFmtId="0" fontId="41" fillId="0" borderId="23" xfId="1" quotePrefix="1" applyFont="1" applyFill="1" applyBorder="1" applyAlignment="1">
      <alignment horizontal="center" vertical="center"/>
    </xf>
    <xf numFmtId="0" fontId="41" fillId="2" borderId="24" xfId="1" quotePrefix="1" applyFont="1" applyFill="1" applyBorder="1" applyAlignment="1">
      <alignment horizontal="center" vertical="center" wrapText="1"/>
    </xf>
    <xf numFmtId="0" fontId="41" fillId="2" borderId="25" xfId="9" quotePrefix="1" applyFont="1" applyFill="1" applyBorder="1" applyAlignment="1">
      <alignment horizontal="right" vertical="top"/>
    </xf>
    <xf numFmtId="0" fontId="41" fillId="2" borderId="27" xfId="9" applyFont="1" applyFill="1" applyBorder="1" applyAlignment="1">
      <alignment horizontal="justify" vertical="center"/>
    </xf>
    <xf numFmtId="0" fontId="41" fillId="2" borderId="24" xfId="10" applyNumberFormat="1" applyFont="1" applyFill="1" applyBorder="1" applyAlignment="1">
      <alignment horizontal="justify" vertical="center"/>
    </xf>
    <xf numFmtId="165" fontId="41" fillId="2" borderId="24" xfId="12" applyFont="1" applyFill="1" applyBorder="1" applyAlignment="1">
      <alignment horizontal="center" vertical="center" wrapText="1"/>
    </xf>
    <xf numFmtId="165" fontId="41" fillId="0" borderId="25" xfId="12" applyNumberFormat="1" applyFont="1" applyFill="1" applyBorder="1" applyAlignment="1">
      <alignment horizontal="right" vertical="center" wrapText="1"/>
    </xf>
    <xf numFmtId="165" fontId="41" fillId="0" borderId="30" xfId="12" applyNumberFormat="1" applyFont="1" applyFill="1" applyBorder="1" applyAlignment="1">
      <alignment horizontal="right" vertical="center" wrapText="1"/>
    </xf>
    <xf numFmtId="165" fontId="41" fillId="0" borderId="0" xfId="12" applyNumberFormat="1" applyFont="1" applyFill="1" applyBorder="1" applyAlignment="1">
      <alignment horizontal="right" vertical="center" wrapText="1"/>
    </xf>
    <xf numFmtId="164" fontId="41" fillId="2" borderId="30" xfId="4" applyFont="1" applyFill="1" applyBorder="1" applyAlignment="1">
      <alignment horizontal="center" vertical="center"/>
    </xf>
    <xf numFmtId="165" fontId="41" fillId="0" borderId="0" xfId="12" applyNumberFormat="1" applyFont="1" applyFill="1" applyBorder="1" applyAlignment="1">
      <alignment horizontal="center" vertical="center" wrapText="1"/>
    </xf>
    <xf numFmtId="164" fontId="41" fillId="2" borderId="0" xfId="4" applyFont="1" applyFill="1" applyAlignment="1">
      <alignment vertical="center"/>
    </xf>
    <xf numFmtId="0" fontId="33" fillId="0" borderId="0" xfId="1" applyFont="1" applyFill="1" applyAlignment="1">
      <alignment horizontal="center" vertical="center"/>
    </xf>
    <xf numFmtId="0" fontId="33" fillId="0" borderId="35" xfId="1" quotePrefix="1" applyFont="1" applyFill="1" applyBorder="1" applyAlignment="1">
      <alignment horizontal="center" vertical="center"/>
    </xf>
    <xf numFmtId="0" fontId="33" fillId="2" borderId="24" xfId="1" quotePrefix="1" applyFont="1" applyFill="1" applyBorder="1" applyAlignment="1">
      <alignment horizontal="center" vertical="center" wrapText="1"/>
    </xf>
    <xf numFmtId="0" fontId="33" fillId="2" borderId="25" xfId="1" quotePrefix="1" applyFont="1" applyFill="1" applyBorder="1" applyAlignment="1">
      <alignment horizontal="center" vertical="center" wrapText="1"/>
    </xf>
    <xf numFmtId="0" fontId="33" fillId="2" borderId="25" xfId="9" quotePrefix="1" applyFont="1" applyFill="1" applyBorder="1" applyAlignment="1">
      <alignment horizontal="right" vertical="top"/>
    </xf>
    <xf numFmtId="0" fontId="33" fillId="0" borderId="27" xfId="5" applyFont="1" applyBorder="1" applyAlignment="1">
      <alignment vertical="center" wrapText="1"/>
    </xf>
    <xf numFmtId="0" fontId="33" fillId="0" borderId="24" xfId="5" applyFont="1" applyBorder="1" applyAlignment="1">
      <alignment wrapText="1"/>
    </xf>
    <xf numFmtId="9" fontId="33" fillId="0" borderId="24" xfId="5" applyNumberFormat="1" applyFont="1" applyBorder="1" applyAlignment="1">
      <alignment horizontal="center" vertical="center"/>
    </xf>
    <xf numFmtId="9" fontId="33" fillId="0" borderId="30" xfId="5" applyNumberFormat="1" applyFont="1" applyBorder="1" applyAlignment="1">
      <alignment horizontal="center" vertical="center"/>
    </xf>
    <xf numFmtId="0" fontId="38" fillId="2" borderId="34" xfId="10" applyNumberFormat="1" applyFont="1" applyFill="1" applyBorder="1" applyAlignment="1">
      <alignment horizontal="justify" vertical="center"/>
    </xf>
    <xf numFmtId="0" fontId="38" fillId="2" borderId="24" xfId="10" applyNumberFormat="1" applyFont="1" applyFill="1" applyBorder="1" applyAlignment="1">
      <alignment horizontal="justify" vertical="center"/>
    </xf>
    <xf numFmtId="0" fontId="41" fillId="0" borderId="24" xfId="5" applyFont="1" applyBorder="1" applyAlignment="1">
      <alignment wrapText="1"/>
    </xf>
    <xf numFmtId="0" fontId="38" fillId="0" borderId="28" xfId="11" applyNumberFormat="1" applyFont="1" applyFill="1" applyBorder="1" applyAlignment="1">
      <alignment horizontal="justify" vertical="center"/>
    </xf>
    <xf numFmtId="0" fontId="38" fillId="2" borderId="28" xfId="11" applyNumberFormat="1" applyFont="1" applyFill="1" applyBorder="1" applyAlignment="1">
      <alignment horizontal="justify" vertical="center"/>
    </xf>
    <xf numFmtId="0" fontId="38" fillId="0" borderId="24" xfId="10" applyNumberFormat="1" applyFont="1" applyFill="1" applyBorder="1" applyAlignment="1">
      <alignment horizontal="justify" vertical="center"/>
    </xf>
    <xf numFmtId="0" fontId="38" fillId="2" borderId="24" xfId="1" applyFont="1" applyFill="1" applyBorder="1" applyAlignment="1">
      <alignment horizontal="left" vertical="center" wrapText="1"/>
    </xf>
    <xf numFmtId="0" fontId="38" fillId="2" borderId="24" xfId="2" applyNumberFormat="1" applyFont="1" applyFill="1" applyBorder="1" applyAlignment="1">
      <alignment horizontal="left" vertical="center" wrapText="1"/>
    </xf>
    <xf numFmtId="0" fontId="33" fillId="2" borderId="27" xfId="2" applyNumberFormat="1" applyFont="1" applyFill="1" applyBorder="1" applyAlignment="1">
      <alignment horizontal="left" vertical="center" wrapText="1"/>
    </xf>
    <xf numFmtId="0" fontId="38" fillId="2" borderId="34" xfId="2" applyNumberFormat="1" applyFont="1" applyFill="1" applyBorder="1" applyAlignment="1">
      <alignment horizontal="left" vertical="center" wrapText="1"/>
    </xf>
    <xf numFmtId="0" fontId="33" fillId="2" borderId="24" xfId="2" applyNumberFormat="1" applyFont="1" applyFill="1" applyBorder="1" applyAlignment="1">
      <alignment horizontal="left" vertical="center" wrapText="1"/>
    </xf>
    <xf numFmtId="0" fontId="38" fillId="0" borderId="52" xfId="2" applyNumberFormat="1" applyFont="1" applyFill="1" applyBorder="1" applyAlignment="1">
      <alignment horizontal="left" vertical="center" wrapText="1"/>
    </xf>
    <xf numFmtId="0" fontId="33" fillId="6" borderId="34" xfId="5" applyFont="1" applyFill="1" applyBorder="1" applyAlignment="1">
      <alignment vertical="center" wrapText="1"/>
    </xf>
    <xf numFmtId="0" fontId="33" fillId="6" borderId="24" xfId="5" applyFont="1" applyFill="1" applyBorder="1" applyAlignment="1">
      <alignment wrapText="1"/>
    </xf>
    <xf numFmtId="0" fontId="33" fillId="6" borderId="28" xfId="5" applyFont="1" applyFill="1" applyBorder="1" applyAlignment="1">
      <alignment wrapText="1"/>
    </xf>
    <xf numFmtId="0" fontId="33" fillId="6" borderId="26" xfId="5" applyFont="1" applyFill="1" applyBorder="1" applyAlignment="1">
      <alignment vertical="center" wrapText="1"/>
    </xf>
    <xf numFmtId="0" fontId="38" fillId="0" borderId="25" xfId="5" quotePrefix="1" applyFont="1" applyFill="1" applyBorder="1" applyAlignment="1">
      <alignment vertical="center" wrapText="1"/>
    </xf>
    <xf numFmtId="0" fontId="38" fillId="6" borderId="25" xfId="5" quotePrefix="1" applyFont="1" applyFill="1" applyBorder="1" applyAlignment="1">
      <alignment vertical="center" wrapText="1"/>
    </xf>
    <xf numFmtId="0" fontId="33" fillId="6" borderId="26" xfId="5" applyFont="1" applyFill="1" applyBorder="1" applyAlignment="1">
      <alignment wrapText="1"/>
    </xf>
    <xf numFmtId="0" fontId="38" fillId="6" borderId="26" xfId="5" applyFont="1" applyFill="1" applyBorder="1" applyAlignment="1">
      <alignment vertical="center" wrapText="1"/>
    </xf>
    <xf numFmtId="0" fontId="38" fillId="2" borderId="25" xfId="1" applyFont="1" applyFill="1" applyBorder="1" applyAlignment="1">
      <alignment vertical="center" wrapText="1"/>
    </xf>
    <xf numFmtId="0" fontId="33" fillId="2" borderId="25" xfId="1" applyFont="1" applyFill="1" applyBorder="1" applyAlignment="1">
      <alignment vertical="center" wrapText="1"/>
    </xf>
    <xf numFmtId="0" fontId="38" fillId="0" borderId="25" xfId="1" applyFont="1" applyFill="1" applyBorder="1" applyAlignment="1">
      <alignment vertical="center" wrapText="1"/>
    </xf>
    <xf numFmtId="0" fontId="38" fillId="6" borderId="25" xfId="5" applyFont="1" applyFill="1" applyBorder="1" applyAlignment="1">
      <alignment vertical="center" wrapText="1"/>
    </xf>
    <xf numFmtId="0" fontId="38" fillId="0" borderId="29" xfId="14" applyFont="1" applyFill="1" applyBorder="1" applyAlignment="1">
      <alignment horizontal="left" vertical="center" wrapText="1"/>
    </xf>
    <xf numFmtId="0" fontId="38" fillId="6" borderId="24" xfId="5" applyFont="1" applyFill="1" applyBorder="1" applyAlignment="1">
      <alignment vertical="center" wrapText="1"/>
    </xf>
    <xf numFmtId="0" fontId="33" fillId="0" borderId="35" xfId="1" applyFont="1" applyFill="1" applyBorder="1" applyAlignment="1">
      <alignment horizontal="center" vertical="center"/>
    </xf>
    <xf numFmtId="0" fontId="33" fillId="0" borderId="34" xfId="1" quotePrefix="1" applyFont="1" applyFill="1" applyBorder="1" applyAlignment="1">
      <alignment vertical="center" wrapText="1"/>
    </xf>
    <xf numFmtId="0" fontId="33" fillId="0" borderId="34" xfId="1" applyFont="1" applyFill="1" applyBorder="1" applyAlignment="1">
      <alignment horizontal="left" vertical="center" wrapText="1"/>
    </xf>
    <xf numFmtId="0" fontId="33" fillId="2" borderId="25" xfId="1" quotePrefix="1" applyFont="1" applyFill="1" applyBorder="1" applyAlignment="1">
      <alignment horizontal="right" vertical="center" wrapText="1"/>
    </xf>
    <xf numFmtId="0" fontId="33" fillId="6" borderId="27" xfId="5" applyFont="1" applyFill="1" applyBorder="1" applyAlignment="1">
      <alignment vertical="center" wrapText="1"/>
    </xf>
    <xf numFmtId="168" fontId="33" fillId="2" borderId="22" xfId="8" applyNumberFormat="1" applyFont="1" applyFill="1" applyBorder="1" applyAlignment="1">
      <alignment horizontal="center" vertical="center"/>
    </xf>
    <xf numFmtId="165" fontId="33" fillId="0" borderId="39" xfId="5" applyNumberFormat="1" applyFont="1" applyFill="1" applyBorder="1" applyAlignment="1">
      <alignment horizontal="right" vertical="center" wrapText="1"/>
    </xf>
    <xf numFmtId="165" fontId="33" fillId="0" borderId="32" xfId="5" applyNumberFormat="1" applyFont="1" applyFill="1" applyBorder="1" applyAlignment="1">
      <alignment horizontal="right" vertical="center" wrapText="1"/>
    </xf>
    <xf numFmtId="165" fontId="33" fillId="0" borderId="0" xfId="5" applyNumberFormat="1" applyFont="1" applyFill="1" applyBorder="1" applyAlignment="1">
      <alignment horizontal="right" vertical="center" wrapText="1"/>
    </xf>
    <xf numFmtId="168" fontId="33" fillId="2" borderId="32" xfId="8" applyNumberFormat="1" applyFont="1" applyFill="1" applyBorder="1" applyAlignment="1">
      <alignment horizontal="center" vertical="center"/>
    </xf>
    <xf numFmtId="165" fontId="33" fillId="0" borderId="0" xfId="5" applyNumberFormat="1" applyFont="1" applyFill="1" applyBorder="1" applyAlignment="1">
      <alignment horizontal="center" vertical="center" wrapText="1"/>
    </xf>
    <xf numFmtId="165" fontId="33" fillId="0" borderId="0" xfId="1" applyNumberFormat="1" applyFont="1" applyFill="1" applyAlignment="1">
      <alignment vertical="center"/>
    </xf>
    <xf numFmtId="9" fontId="33" fillId="2" borderId="27" xfId="8" applyFont="1" applyFill="1" applyBorder="1" applyAlignment="1">
      <alignment horizontal="center" vertical="center"/>
    </xf>
    <xf numFmtId="165" fontId="33" fillId="0" borderId="25" xfId="5" applyNumberFormat="1" applyFont="1" applyFill="1" applyBorder="1" applyAlignment="1">
      <alignment horizontal="right" vertical="center" wrapText="1"/>
    </xf>
    <xf numFmtId="165" fontId="33" fillId="0" borderId="30" xfId="5" applyNumberFormat="1" applyFont="1" applyFill="1" applyBorder="1" applyAlignment="1">
      <alignment horizontal="right" vertical="center" wrapText="1"/>
    </xf>
    <xf numFmtId="9" fontId="33" fillId="2" borderId="30" xfId="8" applyFont="1" applyFill="1" applyBorder="1" applyAlignment="1">
      <alignment horizontal="center" vertical="center"/>
    </xf>
    <xf numFmtId="0" fontId="38" fillId="0" borderId="35" xfId="1" applyFont="1" applyFill="1" applyBorder="1" applyAlignment="1">
      <alignment horizontal="center" vertical="center"/>
    </xf>
    <xf numFmtId="0" fontId="38" fillId="0" borderId="34" xfId="1" quotePrefix="1" applyFont="1" applyFill="1" applyBorder="1" applyAlignment="1">
      <alignment vertical="center" wrapText="1"/>
    </xf>
    <xf numFmtId="0" fontId="38" fillId="0" borderId="34" xfId="1" applyFont="1" applyFill="1" applyBorder="1" applyAlignment="1">
      <alignment horizontal="left" vertical="center" wrapText="1"/>
    </xf>
    <xf numFmtId="0" fontId="33" fillId="2" borderId="25" xfId="1" quotePrefix="1" applyFont="1" applyFill="1" applyBorder="1" applyAlignment="1">
      <alignment horizontal="right" vertical="top" wrapText="1"/>
    </xf>
    <xf numFmtId="9" fontId="33" fillId="2" borderId="24" xfId="8" applyFont="1" applyFill="1" applyBorder="1" applyAlignment="1">
      <alignment horizontal="center" vertical="center"/>
    </xf>
    <xf numFmtId="165" fontId="38" fillId="0" borderId="0" xfId="1" applyNumberFormat="1" applyFont="1" applyFill="1" applyAlignment="1">
      <alignment vertical="center"/>
    </xf>
    <xf numFmtId="0" fontId="38" fillId="0" borderId="0" xfId="1" applyFont="1" applyFill="1" applyAlignment="1">
      <alignment vertical="center"/>
    </xf>
    <xf numFmtId="0" fontId="45" fillId="0" borderId="35" xfId="1" applyFont="1" applyFill="1" applyBorder="1" applyAlignment="1">
      <alignment horizontal="center" vertical="center"/>
    </xf>
    <xf numFmtId="0" fontId="45" fillId="0" borderId="34" xfId="1" quotePrefix="1" applyFont="1" applyFill="1" applyBorder="1" applyAlignment="1">
      <alignment vertical="center" wrapText="1"/>
    </xf>
    <xf numFmtId="0" fontId="45" fillId="0" borderId="34" xfId="1" applyFont="1" applyFill="1" applyBorder="1" applyAlignment="1">
      <alignment horizontal="left" vertical="center" wrapText="1"/>
    </xf>
    <xf numFmtId="165" fontId="45" fillId="0" borderId="0" xfId="1" applyNumberFormat="1" applyFont="1" applyFill="1" applyAlignment="1">
      <alignment vertical="center"/>
    </xf>
    <xf numFmtId="0" fontId="45" fillId="0" borderId="0" xfId="1" applyFont="1" applyFill="1" applyAlignment="1">
      <alignment vertical="center"/>
    </xf>
    <xf numFmtId="0" fontId="39" fillId="2" borderId="0" xfId="1" applyFont="1" applyFill="1" applyAlignment="1">
      <alignment horizontal="center" vertical="center"/>
    </xf>
    <xf numFmtId="0" fontId="38" fillId="2" borderId="23" xfId="1" applyFont="1" applyFill="1" applyBorder="1" applyAlignment="1">
      <alignment horizontal="center" vertical="center"/>
    </xf>
    <xf numFmtId="0" fontId="38" fillId="2" borderId="24" xfId="1" quotePrefix="1" applyFont="1" applyFill="1" applyBorder="1" applyAlignment="1">
      <alignment horizontal="center" vertical="center" wrapText="1"/>
    </xf>
    <xf numFmtId="9" fontId="33" fillId="2" borderId="24" xfId="8" applyNumberFormat="1" applyFont="1" applyFill="1" applyBorder="1" applyAlignment="1">
      <alignment horizontal="center" vertical="center"/>
    </xf>
    <xf numFmtId="165" fontId="33" fillId="0" borderId="29" xfId="5" applyNumberFormat="1" applyFont="1" applyFill="1" applyBorder="1" applyAlignment="1">
      <alignment horizontal="right" vertical="center" wrapText="1"/>
    </xf>
    <xf numFmtId="165" fontId="33" fillId="0" borderId="42" xfId="5" applyNumberFormat="1" applyFont="1" applyFill="1" applyBorder="1" applyAlignment="1">
      <alignment horizontal="right" vertical="center" wrapText="1"/>
    </xf>
    <xf numFmtId="9" fontId="33" fillId="2" borderId="30" xfId="8" applyNumberFormat="1" applyFont="1" applyFill="1" applyBorder="1" applyAlignment="1">
      <alignment horizontal="center" vertical="center"/>
    </xf>
    <xf numFmtId="0" fontId="38" fillId="2" borderId="0" xfId="1" applyFont="1" applyFill="1" applyAlignment="1">
      <alignment vertical="center"/>
    </xf>
    <xf numFmtId="9" fontId="38" fillId="2" borderId="24" xfId="8" applyFont="1" applyFill="1" applyBorder="1" applyAlignment="1">
      <alignment horizontal="center" vertical="center"/>
    </xf>
    <xf numFmtId="9" fontId="38" fillId="2" borderId="30" xfId="8" applyFont="1" applyFill="1" applyBorder="1" applyAlignment="1">
      <alignment horizontal="center" vertical="center"/>
    </xf>
    <xf numFmtId="0" fontId="38" fillId="2" borderId="41" xfId="1" applyFont="1" applyFill="1" applyBorder="1" applyAlignment="1">
      <alignment horizontal="center" vertical="center"/>
    </xf>
    <xf numFmtId="0" fontId="38" fillId="2" borderId="28" xfId="1" quotePrefix="1" applyFont="1" applyFill="1" applyBorder="1" applyAlignment="1">
      <alignment horizontal="center" vertical="center" wrapText="1"/>
    </xf>
    <xf numFmtId="168" fontId="33" fillId="2" borderId="24" xfId="8" applyNumberFormat="1" applyFont="1" applyFill="1" applyBorder="1" applyAlignment="1">
      <alignment horizontal="center" vertical="center"/>
    </xf>
    <xf numFmtId="168" fontId="33" fillId="2" borderId="30" xfId="8" applyNumberFormat="1" applyFont="1" applyFill="1" applyBorder="1" applyAlignment="1">
      <alignment horizontal="center" vertical="center"/>
    </xf>
    <xf numFmtId="9" fontId="33" fillId="2" borderId="28" xfId="8" applyFont="1" applyFill="1" applyBorder="1" applyAlignment="1">
      <alignment horizontal="center" vertical="center"/>
    </xf>
    <xf numFmtId="9" fontId="33" fillId="2" borderId="42" xfId="8" applyFont="1" applyFill="1" applyBorder="1" applyAlignment="1">
      <alignment vertical="center"/>
    </xf>
    <xf numFmtId="0" fontId="39" fillId="2" borderId="0" xfId="1" applyFont="1" applyFill="1" applyAlignment="1">
      <alignment horizontal="center" vertical="center" wrapText="1"/>
    </xf>
    <xf numFmtId="0" fontId="33" fillId="2" borderId="41" xfId="1" applyFont="1" applyFill="1" applyBorder="1" applyAlignment="1">
      <alignment horizontal="center" vertical="center" wrapText="1"/>
    </xf>
    <xf numFmtId="0" fontId="33" fillId="2" borderId="25" xfId="1" applyFont="1" applyFill="1" applyBorder="1" applyAlignment="1">
      <alignment horizontal="center" vertical="center" wrapText="1"/>
    </xf>
    <xf numFmtId="0" fontId="33" fillId="2" borderId="27" xfId="1" applyFont="1" applyFill="1" applyBorder="1" applyAlignment="1">
      <alignment horizontal="left" vertical="center" wrapText="1"/>
    </xf>
    <xf numFmtId="9" fontId="33" fillId="2" borderId="28" xfId="8" applyFont="1" applyFill="1" applyBorder="1" applyAlignment="1">
      <alignment horizontal="center" vertical="center" wrapText="1"/>
    </xf>
    <xf numFmtId="9" fontId="33" fillId="2" borderId="42" xfId="8" applyFont="1" applyFill="1" applyBorder="1" applyAlignment="1">
      <alignment vertical="center" wrapText="1"/>
    </xf>
    <xf numFmtId="165" fontId="33" fillId="0" borderId="0" xfId="1" applyNumberFormat="1" applyFont="1" applyFill="1" applyAlignment="1">
      <alignment vertical="center" wrapText="1"/>
    </xf>
    <xf numFmtId="0" fontId="33" fillId="2" borderId="0" xfId="1" applyFont="1" applyFill="1" applyAlignment="1">
      <alignment vertical="center" wrapText="1"/>
    </xf>
    <xf numFmtId="0" fontId="33" fillId="2" borderId="25" xfId="1" applyFont="1" applyFill="1" applyBorder="1" applyAlignment="1">
      <alignment horizontal="right" vertical="center" wrapText="1"/>
    </xf>
    <xf numFmtId="0" fontId="38" fillId="2" borderId="24" xfId="5" applyFont="1" applyFill="1" applyBorder="1" applyAlignment="1">
      <alignment horizontal="left" vertical="top" wrapText="1"/>
    </xf>
    <xf numFmtId="0" fontId="38" fillId="2" borderId="24" xfId="5" applyFont="1" applyFill="1" applyBorder="1" applyAlignment="1">
      <alignment horizontal="left" vertical="center" wrapText="1"/>
    </xf>
    <xf numFmtId="0" fontId="38" fillId="2" borderId="28" xfId="5" applyFont="1" applyFill="1" applyBorder="1" applyAlignment="1">
      <alignment horizontal="left" vertical="top" wrapText="1"/>
    </xf>
    <xf numFmtId="0" fontId="20" fillId="2" borderId="0" xfId="1" applyNumberFormat="1" applyFont="1" applyFill="1" applyAlignment="1">
      <alignment horizontal="center"/>
    </xf>
    <xf numFmtId="0" fontId="20" fillId="2" borderId="0" xfId="1" applyNumberFormat="1" applyFont="1" applyFill="1" applyBorder="1" applyAlignment="1">
      <alignment horizontal="left"/>
    </xf>
    <xf numFmtId="0" fontId="11" fillId="0" borderId="24" xfId="5" applyFont="1" applyFill="1" applyBorder="1" applyAlignment="1">
      <alignment horizontal="left" vertical="center" wrapText="1"/>
    </xf>
    <xf numFmtId="0" fontId="8" fillId="2" borderId="0" xfId="1" applyNumberFormat="1" applyFont="1" applyFill="1" applyAlignment="1">
      <alignment horizontal="center" vertical="center"/>
    </xf>
    <xf numFmtId="0" fontId="37" fillId="13" borderId="84" xfId="0" applyFont="1" applyFill="1" applyBorder="1" applyAlignment="1">
      <alignment horizontal="center" vertical="center"/>
    </xf>
    <xf numFmtId="0" fontId="11" fillId="14" borderId="24" xfId="5" applyFont="1" applyFill="1" applyBorder="1" applyAlignment="1">
      <alignment vertical="center" wrapText="1"/>
    </xf>
    <xf numFmtId="166" fontId="11" fillId="14" borderId="25" xfId="4" applyNumberFormat="1" applyFont="1" applyFill="1" applyBorder="1" applyAlignment="1">
      <alignment horizontal="center" vertical="center" wrapText="1"/>
    </xf>
    <xf numFmtId="166" fontId="11" fillId="14" borderId="30" xfId="4" applyNumberFormat="1" applyFont="1" applyFill="1" applyBorder="1" applyAlignment="1">
      <alignment horizontal="center" vertical="center" wrapText="1"/>
    </xf>
    <xf numFmtId="0" fontId="46" fillId="2" borderId="19" xfId="2" applyNumberFormat="1" applyFont="1" applyFill="1" applyBorder="1" applyAlignment="1">
      <alignment horizontal="left" vertical="center" wrapText="1"/>
    </xf>
    <xf numFmtId="165" fontId="46" fillId="2" borderId="9" xfId="3" applyNumberFormat="1" applyFont="1" applyFill="1" applyBorder="1" applyAlignment="1">
      <alignment horizontal="right" vertical="center"/>
    </xf>
    <xf numFmtId="165" fontId="46" fillId="2" borderId="16" xfId="3" applyNumberFormat="1" applyFont="1" applyFill="1" applyBorder="1" applyAlignment="1">
      <alignment horizontal="right" vertical="center"/>
    </xf>
    <xf numFmtId="165" fontId="46" fillId="2" borderId="11" xfId="3" applyNumberFormat="1" applyFont="1" applyFill="1" applyBorder="1" applyAlignment="1">
      <alignment horizontal="right" vertical="center"/>
    </xf>
    <xf numFmtId="165" fontId="11" fillId="0" borderId="42" xfId="12" applyNumberFormat="1" applyFont="1" applyFill="1" applyBorder="1" applyAlignment="1">
      <alignment horizontal="left" vertical="center" wrapText="1"/>
    </xf>
    <xf numFmtId="165" fontId="11" fillId="0" borderId="42" xfId="12" quotePrefix="1" applyNumberFormat="1" applyFont="1" applyFill="1" applyBorder="1" applyAlignment="1">
      <alignment horizontal="left" vertical="center" wrapText="1"/>
    </xf>
    <xf numFmtId="166" fontId="11" fillId="0" borderId="30" xfId="4" applyNumberFormat="1" applyFont="1" applyFill="1" applyBorder="1" applyAlignment="1">
      <alignment horizontal="left" vertical="center" wrapText="1"/>
    </xf>
    <xf numFmtId="43" fontId="7" fillId="0" borderId="0" xfId="1" applyNumberFormat="1" applyFont="1" applyFill="1" applyAlignment="1">
      <alignment vertical="center"/>
    </xf>
    <xf numFmtId="49" fontId="11" fillId="0" borderId="30" xfId="4" quotePrefix="1" applyNumberFormat="1" applyFont="1" applyFill="1" applyBorder="1" applyAlignment="1">
      <alignment horizontal="left" vertical="center" wrapText="1"/>
    </xf>
    <xf numFmtId="49" fontId="11" fillId="0" borderId="30" xfId="4" applyNumberFormat="1" applyFont="1" applyFill="1" applyBorder="1" applyAlignment="1">
      <alignment horizontal="left" vertical="center" wrapText="1"/>
    </xf>
    <xf numFmtId="165" fontId="11" fillId="0" borderId="30" xfId="12" applyNumberFormat="1" applyFont="1" applyFill="1" applyBorder="1" applyAlignment="1">
      <alignment horizontal="left" vertical="center" wrapText="1"/>
    </xf>
    <xf numFmtId="49" fontId="11" fillId="0" borderId="32" xfId="3" applyNumberFormat="1" applyFont="1" applyFill="1" applyBorder="1" applyAlignment="1">
      <alignment horizontal="left" vertical="center" wrapText="1"/>
    </xf>
    <xf numFmtId="165" fontId="11" fillId="0" borderId="30" xfId="5" applyNumberFormat="1" applyFont="1" applyFill="1" applyBorder="1" applyAlignment="1">
      <alignment vertical="center" wrapText="1"/>
    </xf>
    <xf numFmtId="165" fontId="11" fillId="0" borderId="42" xfId="5" applyNumberFormat="1" applyFont="1" applyFill="1" applyBorder="1" applyAlignment="1">
      <alignment vertical="center" wrapText="1"/>
    </xf>
    <xf numFmtId="165" fontId="11" fillId="0" borderId="42" xfId="3" applyNumberFormat="1" applyFont="1" applyFill="1" applyBorder="1" applyAlignment="1">
      <alignment vertical="center" wrapText="1"/>
    </xf>
    <xf numFmtId="165" fontId="11" fillId="0" borderId="42" xfId="3" applyNumberFormat="1" applyFont="1" applyFill="1" applyBorder="1" applyAlignment="1">
      <alignment horizontal="left" vertical="center" wrapText="1"/>
    </xf>
    <xf numFmtId="165" fontId="46" fillId="2" borderId="92" xfId="3" applyNumberFormat="1" applyFont="1" applyFill="1" applyBorder="1" applyAlignment="1">
      <alignment horizontal="right" vertical="center"/>
    </xf>
    <xf numFmtId="165" fontId="11" fillId="0" borderId="93" xfId="12" quotePrefix="1" applyNumberFormat="1" applyFont="1" applyFill="1" applyBorder="1" applyAlignment="1">
      <alignment horizontal="left" vertical="center" wrapText="1"/>
    </xf>
    <xf numFmtId="165" fontId="11" fillId="0" borderId="93" xfId="12" applyNumberFormat="1" applyFont="1" applyFill="1" applyBorder="1" applyAlignment="1">
      <alignment horizontal="left" vertical="center" wrapText="1"/>
    </xf>
    <xf numFmtId="166" fontId="11" fillId="0" borderId="94" xfId="4" applyNumberFormat="1" applyFont="1" applyFill="1" applyBorder="1" applyAlignment="1">
      <alignment horizontal="left" vertical="center" wrapText="1"/>
    </xf>
    <xf numFmtId="49" fontId="11" fillId="0" borderId="94" xfId="4" quotePrefix="1" applyNumberFormat="1" applyFont="1" applyFill="1" applyBorder="1" applyAlignment="1">
      <alignment horizontal="left" vertical="center" wrapText="1"/>
    </xf>
    <xf numFmtId="49" fontId="11" fillId="0" borderId="94" xfId="4" applyNumberFormat="1" applyFont="1" applyFill="1" applyBorder="1" applyAlignment="1">
      <alignment horizontal="left" vertical="center" wrapText="1"/>
    </xf>
    <xf numFmtId="165" fontId="11" fillId="0" borderId="94" xfId="12" applyNumberFormat="1" applyFont="1" applyFill="1" applyBorder="1" applyAlignment="1">
      <alignment horizontal="left" vertical="center" wrapText="1"/>
    </xf>
    <xf numFmtId="49" fontId="11" fillId="0" borderId="95" xfId="3" applyNumberFormat="1" applyFont="1" applyFill="1" applyBorder="1" applyAlignment="1">
      <alignment horizontal="left" vertical="center" wrapText="1"/>
    </xf>
    <xf numFmtId="165" fontId="11" fillId="0" borderId="94" xfId="5" applyNumberFormat="1" applyFont="1" applyFill="1" applyBorder="1" applyAlignment="1">
      <alignment vertical="center" wrapText="1"/>
    </xf>
    <xf numFmtId="165" fontId="11" fillId="0" borderId="93" xfId="5" applyNumberFormat="1" applyFont="1" applyFill="1" applyBorder="1" applyAlignment="1">
      <alignment vertical="center" wrapText="1"/>
    </xf>
    <xf numFmtId="165" fontId="11" fillId="0" borderId="93" xfId="3" applyNumberFormat="1" applyFont="1" applyFill="1" applyBorder="1" applyAlignment="1">
      <alignment vertical="center" wrapText="1"/>
    </xf>
    <xf numFmtId="165" fontId="11" fillId="0" borderId="93" xfId="3" applyNumberFormat="1" applyFont="1" applyFill="1" applyBorder="1" applyAlignment="1">
      <alignment horizontal="left" vertical="center" wrapText="1"/>
    </xf>
    <xf numFmtId="165" fontId="11" fillId="0" borderId="93" xfId="3" applyNumberFormat="1" applyFont="1" applyFill="1" applyBorder="1" applyAlignment="1">
      <alignment horizontal="center" vertical="center" wrapText="1"/>
    </xf>
    <xf numFmtId="165" fontId="13" fillId="2" borderId="96" xfId="3" applyNumberFormat="1" applyFont="1" applyFill="1" applyBorder="1" applyAlignment="1">
      <alignment horizontal="right" vertical="center" wrapText="1"/>
    </xf>
    <xf numFmtId="0" fontId="20" fillId="2" borderId="0" xfId="1" applyNumberFormat="1" applyFont="1" applyFill="1" applyAlignment="1">
      <alignment horizontal="center"/>
    </xf>
    <xf numFmtId="0" fontId="20" fillId="2" borderId="0" xfId="1" applyNumberFormat="1" applyFont="1" applyFill="1" applyBorder="1" applyAlignment="1">
      <alignment horizontal="left"/>
    </xf>
    <xf numFmtId="0" fontId="11" fillId="0" borderId="24" xfId="5" applyFont="1" applyFill="1" applyBorder="1" applyAlignment="1">
      <alignment horizontal="left" vertical="center" wrapText="1"/>
    </xf>
    <xf numFmtId="0" fontId="8" fillId="2" borderId="0" xfId="1" applyNumberFormat="1" applyFont="1" applyFill="1" applyAlignment="1">
      <alignment horizontal="center" vertical="center"/>
    </xf>
    <xf numFmtId="41" fontId="9" fillId="2" borderId="0" xfId="15" applyFont="1" applyFill="1" applyAlignment="1">
      <alignment horizontal="left" vertical="center"/>
    </xf>
    <xf numFmtId="0" fontId="11" fillId="0" borderId="24" xfId="5" applyFont="1" applyFill="1" applyBorder="1" applyAlignment="1">
      <alignment horizontal="left" vertical="center" wrapText="1"/>
    </xf>
    <xf numFmtId="0" fontId="20" fillId="2" borderId="0" xfId="1" applyNumberFormat="1" applyFont="1" applyFill="1" applyAlignment="1">
      <alignment horizontal="center"/>
    </xf>
    <xf numFmtId="0" fontId="20" fillId="2" borderId="0" xfId="1" applyNumberFormat="1" applyFont="1" applyFill="1" applyBorder="1" applyAlignment="1">
      <alignment horizontal="left"/>
    </xf>
    <xf numFmtId="0" fontId="8" fillId="2" borderId="0" xfId="1" applyNumberFormat="1" applyFont="1" applyFill="1" applyAlignment="1">
      <alignment horizontal="center" vertical="center"/>
    </xf>
    <xf numFmtId="0" fontId="47" fillId="0" borderId="0" xfId="1" applyFont="1" applyBorder="1" applyAlignment="1">
      <alignment horizontal="center" vertical="center"/>
    </xf>
    <xf numFmtId="0" fontId="47" fillId="0" borderId="0" xfId="1" applyFont="1" applyBorder="1" applyAlignment="1">
      <alignment vertical="center"/>
    </xf>
    <xf numFmtId="0" fontId="48" fillId="0" borderId="0" xfId="1" applyFont="1" applyBorder="1" applyAlignment="1">
      <alignment horizontal="center" vertical="center"/>
    </xf>
    <xf numFmtId="165" fontId="11" fillId="14" borderId="25" xfId="3" applyNumberFormat="1" applyFont="1" applyFill="1" applyBorder="1" applyAlignment="1">
      <alignment horizontal="right" vertical="center"/>
    </xf>
    <xf numFmtId="165" fontId="11" fillId="14" borderId="30" xfId="3" applyNumberFormat="1" applyFont="1" applyFill="1" applyBorder="1" applyAlignment="1">
      <alignment horizontal="right" vertical="center"/>
    </xf>
    <xf numFmtId="165" fontId="11" fillId="14" borderId="25" xfId="12" applyNumberFormat="1" applyFont="1" applyFill="1" applyBorder="1" applyAlignment="1">
      <alignment horizontal="right" vertical="center" wrapText="1"/>
    </xf>
    <xf numFmtId="165" fontId="11" fillId="14" borderId="30" xfId="12" applyNumberFormat="1" applyFont="1" applyFill="1" applyBorder="1" applyAlignment="1">
      <alignment horizontal="right" vertical="center" wrapText="1"/>
    </xf>
    <xf numFmtId="166" fontId="11" fillId="14" borderId="25" xfId="4" applyNumberFormat="1" applyFont="1" applyFill="1" applyBorder="1" applyAlignment="1">
      <alignment horizontal="right" vertical="center" wrapText="1"/>
    </xf>
    <xf numFmtId="166" fontId="11" fillId="14" borderId="30" xfId="4" applyNumberFormat="1" applyFont="1" applyFill="1" applyBorder="1" applyAlignment="1">
      <alignment horizontal="right" vertical="center" wrapText="1"/>
    </xf>
    <xf numFmtId="166" fontId="33" fillId="16" borderId="25" xfId="4" applyNumberFormat="1" applyFont="1" applyFill="1" applyBorder="1" applyAlignment="1">
      <alignment horizontal="center" vertical="center"/>
    </xf>
    <xf numFmtId="166" fontId="33" fillId="16" borderId="30" xfId="4" applyNumberFormat="1" applyFont="1" applyFill="1" applyBorder="1" applyAlignment="1">
      <alignment horizontal="center" vertical="center"/>
    </xf>
    <xf numFmtId="166" fontId="11" fillId="17" borderId="25" xfId="4" applyNumberFormat="1" applyFont="1" applyFill="1" applyBorder="1" applyAlignment="1">
      <alignment horizontal="center" vertical="center" wrapText="1"/>
    </xf>
    <xf numFmtId="166" fontId="11" fillId="17" borderId="30" xfId="4" applyNumberFormat="1" applyFont="1" applyFill="1" applyBorder="1" applyAlignment="1">
      <alignment horizontal="center" vertical="center" wrapText="1"/>
    </xf>
    <xf numFmtId="165" fontId="11" fillId="17" borderId="36" xfId="3" applyNumberFormat="1" applyFont="1" applyFill="1" applyBorder="1" applyAlignment="1">
      <alignment horizontal="right" vertical="center" wrapText="1"/>
    </xf>
    <xf numFmtId="165" fontId="11" fillId="17" borderId="53" xfId="3" applyNumberFormat="1" applyFont="1" applyFill="1" applyBorder="1" applyAlignment="1">
      <alignment horizontal="right" vertical="center" wrapText="1"/>
    </xf>
    <xf numFmtId="165" fontId="11" fillId="17" borderId="39" xfId="3" applyNumberFormat="1" applyFont="1" applyFill="1" applyBorder="1" applyAlignment="1">
      <alignment horizontal="right" vertical="center" wrapText="1"/>
    </xf>
    <xf numFmtId="165" fontId="11" fillId="17" borderId="32" xfId="3" applyNumberFormat="1" applyFont="1" applyFill="1" applyBorder="1" applyAlignment="1">
      <alignment horizontal="right" vertical="center" wrapText="1"/>
    </xf>
    <xf numFmtId="165" fontId="11" fillId="17" borderId="30" xfId="12" applyNumberFormat="1" applyFont="1" applyFill="1" applyBorder="1" applyAlignment="1">
      <alignment horizontal="right" vertical="center" wrapText="1"/>
    </xf>
    <xf numFmtId="165" fontId="11" fillId="17" borderId="25" xfId="12" applyNumberFormat="1" applyFont="1" applyFill="1" applyBorder="1" applyAlignment="1">
      <alignment horizontal="right" vertical="center" wrapText="1"/>
    </xf>
    <xf numFmtId="0" fontId="13" fillId="2" borderId="43" xfId="1" quotePrefix="1" applyFont="1" applyFill="1" applyBorder="1" applyAlignment="1">
      <alignment horizontal="center" vertical="center" wrapText="1"/>
    </xf>
    <xf numFmtId="0" fontId="13" fillId="2" borderId="45" xfId="1" quotePrefix="1" applyFont="1" applyFill="1" applyBorder="1" applyAlignment="1">
      <alignment horizontal="center" vertical="center" wrapText="1"/>
    </xf>
    <xf numFmtId="0" fontId="11" fillId="0" borderId="24" xfId="5" applyFont="1" applyFill="1" applyBorder="1" applyAlignment="1">
      <alignment horizontal="left" vertical="center" wrapText="1"/>
    </xf>
    <xf numFmtId="0" fontId="7" fillId="0" borderId="27" xfId="5" applyFont="1" applyFill="1" applyBorder="1" applyAlignment="1">
      <alignment vertical="center" wrapText="1"/>
    </xf>
    <xf numFmtId="0" fontId="20" fillId="2" borderId="0" xfId="1" applyNumberFormat="1" applyFont="1" applyFill="1" applyAlignment="1">
      <alignment horizontal="center"/>
    </xf>
    <xf numFmtId="0" fontId="20" fillId="2" borderId="0" xfId="1" applyNumberFormat="1" applyFont="1" applyFill="1" applyBorder="1" applyAlignment="1">
      <alignment horizontal="center" vertical="center"/>
    </xf>
    <xf numFmtId="0" fontId="8" fillId="2" borderId="0" xfId="1" applyNumberFormat="1" applyFont="1" applyFill="1" applyAlignment="1">
      <alignment horizontal="center" vertical="center"/>
    </xf>
    <xf numFmtId="165" fontId="11" fillId="0" borderId="0" xfId="3" applyNumberFormat="1" applyFont="1" applyFill="1" applyBorder="1" applyAlignment="1">
      <alignment horizontal="center" vertical="center"/>
    </xf>
    <xf numFmtId="41" fontId="10" fillId="2" borderId="0" xfId="15" applyFont="1" applyFill="1" applyAlignment="1">
      <alignment horizontal="left" vertical="center"/>
    </xf>
    <xf numFmtId="41" fontId="15" fillId="0" borderId="0" xfId="15" applyFont="1" applyFill="1" applyAlignment="1">
      <alignment vertical="center"/>
    </xf>
    <xf numFmtId="41" fontId="33" fillId="0" borderId="0" xfId="15" applyFont="1" applyFill="1" applyAlignment="1">
      <alignment vertical="center"/>
    </xf>
    <xf numFmtId="41" fontId="41" fillId="0" borderId="0" xfId="15" applyFont="1" applyFill="1" applyAlignment="1">
      <alignment vertical="center"/>
    </xf>
    <xf numFmtId="41" fontId="17" fillId="0" borderId="0" xfId="15" applyFont="1" applyFill="1" applyAlignment="1">
      <alignment vertical="center"/>
    </xf>
    <xf numFmtId="41" fontId="44" fillId="0" borderId="0" xfId="15" applyFont="1" applyFill="1" applyAlignment="1">
      <alignment vertical="center"/>
    </xf>
    <xf numFmtId="41" fontId="33" fillId="2" borderId="0" xfId="15" applyFont="1" applyFill="1" applyAlignment="1">
      <alignment vertical="center"/>
    </xf>
    <xf numFmtId="41" fontId="41" fillId="2" borderId="0" xfId="15" applyFont="1" applyFill="1" applyAlignment="1">
      <alignment vertical="center"/>
    </xf>
    <xf numFmtId="41" fontId="38" fillId="0" borderId="0" xfId="15" applyFont="1" applyFill="1" applyAlignment="1">
      <alignment vertical="center"/>
    </xf>
    <xf numFmtId="41" fontId="45" fillId="0" borderId="0" xfId="15" applyFont="1" applyFill="1" applyAlignment="1">
      <alignment vertical="center"/>
    </xf>
    <xf numFmtId="41" fontId="38" fillId="2" borderId="0" xfId="15" applyFont="1" applyFill="1" applyAlignment="1">
      <alignment vertical="center"/>
    </xf>
    <xf numFmtId="41" fontId="11" fillId="2" borderId="0" xfId="15" applyFont="1" applyFill="1" applyAlignment="1">
      <alignment vertical="center" wrapText="1"/>
    </xf>
    <xf numFmtId="41" fontId="33" fillId="2" borderId="0" xfId="15" applyFont="1" applyFill="1" applyAlignment="1">
      <alignment vertical="center" wrapText="1"/>
    </xf>
    <xf numFmtId="41" fontId="7" fillId="2" borderId="0" xfId="15" applyFont="1" applyFill="1" applyAlignment="1">
      <alignment vertical="center" wrapText="1"/>
    </xf>
    <xf numFmtId="41" fontId="14" fillId="2" borderId="0" xfId="15" applyFont="1" applyFill="1" applyAlignment="1">
      <alignment vertical="center" wrapText="1"/>
    </xf>
    <xf numFmtId="41" fontId="32" fillId="2" borderId="0" xfId="15" applyFont="1" applyFill="1" applyAlignment="1">
      <alignment vertical="center"/>
    </xf>
    <xf numFmtId="165" fontId="49" fillId="0" borderId="30" xfId="5" applyNumberFormat="1" applyFont="1" applyFill="1" applyBorder="1" applyAlignment="1">
      <alignment horizontal="right" vertical="center" wrapText="1"/>
    </xf>
    <xf numFmtId="166" fontId="11" fillId="18" borderId="30" xfId="4" applyNumberFormat="1" applyFont="1" applyFill="1" applyBorder="1" applyAlignment="1">
      <alignment horizontal="right" vertical="center" wrapText="1"/>
    </xf>
    <xf numFmtId="0" fontId="43" fillId="18" borderId="0" xfId="1" applyFont="1" applyFill="1" applyAlignment="1">
      <alignment horizontal="center" vertical="center"/>
    </xf>
    <xf numFmtId="0" fontId="33" fillId="18" borderId="23" xfId="1" applyFont="1" applyFill="1" applyBorder="1" applyAlignment="1">
      <alignment horizontal="center" vertical="center"/>
    </xf>
    <xf numFmtId="0" fontId="33" fillId="18" borderId="24" xfId="1" quotePrefix="1" applyFont="1" applyFill="1" applyBorder="1" applyAlignment="1">
      <alignment horizontal="center" vertical="center" wrapText="1"/>
    </xf>
    <xf numFmtId="0" fontId="33" fillId="18" borderId="25" xfId="5" applyFont="1" applyFill="1" applyBorder="1" applyAlignment="1">
      <alignment horizontal="center" vertical="center" wrapText="1"/>
    </xf>
    <xf numFmtId="0" fontId="33" fillId="18" borderId="25" xfId="5" quotePrefix="1" applyFont="1" applyFill="1" applyBorder="1" applyAlignment="1">
      <alignment horizontal="left" vertical="center" wrapText="1" indent="1"/>
    </xf>
    <xf numFmtId="0" fontId="33" fillId="18" borderId="27" xfId="2" applyNumberFormat="1" applyFont="1" applyFill="1" applyBorder="1" applyAlignment="1">
      <alignment horizontal="left" vertical="center" wrapText="1"/>
    </xf>
    <xf numFmtId="0" fontId="33" fillId="18" borderId="24" xfId="5" applyFont="1" applyFill="1" applyBorder="1" applyAlignment="1">
      <alignment vertical="center" wrapText="1"/>
    </xf>
    <xf numFmtId="2" fontId="33" fillId="18" borderId="24" xfId="1" applyNumberFormat="1" applyFont="1" applyFill="1" applyBorder="1" applyAlignment="1">
      <alignment horizontal="center" vertical="center" wrapText="1"/>
    </xf>
    <xf numFmtId="166" fontId="33" fillId="18" borderId="25" xfId="4" applyNumberFormat="1" applyFont="1" applyFill="1" applyBorder="1" applyAlignment="1">
      <alignment horizontal="center" vertical="center"/>
    </xf>
    <xf numFmtId="166" fontId="33" fillId="18" borderId="30" xfId="4" applyNumberFormat="1" applyFont="1" applyFill="1" applyBorder="1" applyAlignment="1">
      <alignment horizontal="center" vertical="center"/>
    </xf>
    <xf numFmtId="166" fontId="33" fillId="18" borderId="0" xfId="4" applyNumberFormat="1" applyFont="1" applyFill="1" applyBorder="1" applyAlignment="1">
      <alignment horizontal="center" vertical="center"/>
    </xf>
    <xf numFmtId="0" fontId="33" fillId="18" borderId="30" xfId="1" applyFont="1" applyFill="1" applyBorder="1" applyAlignment="1">
      <alignment horizontal="center" vertical="center"/>
    </xf>
    <xf numFmtId="0" fontId="33" fillId="18" borderId="0" xfId="1" applyFont="1" applyFill="1" applyAlignment="1">
      <alignment vertical="center"/>
    </xf>
    <xf numFmtId="41" fontId="33" fillId="18" borderId="0" xfId="15" applyFont="1" applyFill="1" applyAlignment="1">
      <alignment vertical="center"/>
    </xf>
    <xf numFmtId="166" fontId="11" fillId="19" borderId="30" xfId="4" applyNumberFormat="1" applyFont="1" applyFill="1" applyBorder="1" applyAlignment="1">
      <alignment horizontal="right" vertical="center" wrapText="1"/>
    </xf>
    <xf numFmtId="166" fontId="11" fillId="19" borderId="30" xfId="4" applyNumberFormat="1" applyFont="1" applyFill="1" applyBorder="1" applyAlignment="1">
      <alignment horizontal="center" vertical="center" wrapText="1"/>
    </xf>
    <xf numFmtId="166" fontId="11" fillId="19" borderId="30" xfId="4" applyNumberFormat="1" applyFont="1" applyFill="1" applyBorder="1" applyAlignment="1">
      <alignment horizontal="center" vertical="center"/>
    </xf>
    <xf numFmtId="0" fontId="49" fillId="6" borderId="27" xfId="5" applyFont="1" applyFill="1" applyBorder="1" applyAlignment="1">
      <alignment vertical="center" wrapText="1"/>
    </xf>
    <xf numFmtId="0" fontId="7" fillId="0" borderId="25" xfId="1" quotePrefix="1" applyFont="1" applyFill="1" applyBorder="1" applyAlignment="1">
      <alignment horizontal="center" vertical="center" wrapText="1"/>
    </xf>
    <xf numFmtId="0" fontId="7" fillId="0" borderId="39" xfId="5" applyFont="1" applyFill="1" applyBorder="1" applyAlignment="1">
      <alignment horizontal="right" vertical="center" wrapText="1"/>
    </xf>
    <xf numFmtId="0" fontId="7" fillId="0" borderId="22" xfId="5" applyFont="1" applyFill="1" applyBorder="1" applyAlignment="1">
      <alignment vertical="center" wrapText="1"/>
    </xf>
    <xf numFmtId="0" fontId="7" fillId="0" borderId="34" xfId="5" applyFont="1" applyFill="1" applyBorder="1" applyAlignment="1">
      <alignment vertical="center" wrapText="1"/>
    </xf>
    <xf numFmtId="9" fontId="7" fillId="0" borderId="34" xfId="5" applyNumberFormat="1" applyFont="1" applyFill="1" applyBorder="1" applyAlignment="1">
      <alignment horizontal="center" vertical="center"/>
    </xf>
    <xf numFmtId="0" fontId="7" fillId="0" borderId="25" xfId="5" applyFont="1" applyFill="1" applyBorder="1" applyAlignment="1">
      <alignment horizontal="left" vertical="center" wrapText="1"/>
    </xf>
    <xf numFmtId="0" fontId="7" fillId="0" borderId="24" xfId="5" applyFont="1" applyFill="1" applyBorder="1" applyAlignment="1">
      <alignment horizontal="left" vertical="center" wrapText="1"/>
    </xf>
    <xf numFmtId="0" fontId="33" fillId="0" borderId="24" xfId="5" applyFont="1" applyFill="1" applyBorder="1" applyAlignment="1">
      <alignment horizontal="center" vertical="center" wrapText="1"/>
    </xf>
    <xf numFmtId="0" fontId="33" fillId="0" borderId="25" xfId="5" applyFont="1" applyFill="1" applyBorder="1" applyAlignment="1">
      <alignment horizontal="left" vertical="top" wrapText="1" indent="1"/>
    </xf>
    <xf numFmtId="0" fontId="33" fillId="0" borderId="25" xfId="5" applyFont="1" applyFill="1" applyBorder="1" applyAlignment="1">
      <alignment horizontal="left" vertical="center" wrapText="1" indent="1"/>
    </xf>
    <xf numFmtId="0" fontId="41" fillId="0" borderId="24" xfId="5" applyFont="1" applyFill="1" applyBorder="1" applyAlignment="1">
      <alignment horizontal="center" vertical="center" wrapText="1"/>
    </xf>
    <xf numFmtId="0" fontId="41" fillId="0" borderId="25" xfId="5" applyFont="1" applyFill="1" applyBorder="1" applyAlignment="1">
      <alignment horizontal="left" vertical="center" wrapText="1" indent="1"/>
    </xf>
    <xf numFmtId="0" fontId="41" fillId="0" borderId="24" xfId="5" applyFont="1" applyFill="1" applyBorder="1" applyAlignment="1">
      <alignment vertical="center" wrapText="1"/>
    </xf>
    <xf numFmtId="2" fontId="33" fillId="0" borderId="24" xfId="5" applyNumberFormat="1" applyFont="1" applyFill="1" applyBorder="1" applyAlignment="1">
      <alignment vertical="center" wrapText="1"/>
    </xf>
    <xf numFmtId="0" fontId="17" fillId="0" borderId="25" xfId="5" applyFont="1" applyFill="1" applyBorder="1" applyAlignment="1">
      <alignment horizontal="left" vertical="center" wrapText="1" indent="1"/>
    </xf>
    <xf numFmtId="0" fontId="33" fillId="0" borderId="25" xfId="5" quotePrefix="1" applyFont="1" applyFill="1" applyBorder="1" applyAlignment="1">
      <alignment horizontal="left" vertical="center" wrapText="1" indent="1"/>
    </xf>
    <xf numFmtId="0" fontId="17" fillId="0" borderId="25" xfId="5" quotePrefix="1" applyFont="1" applyFill="1" applyBorder="1" applyAlignment="1">
      <alignment horizontal="left" vertical="center" wrapText="1" indent="1"/>
    </xf>
    <xf numFmtId="0" fontId="33" fillId="0" borderId="24" xfId="5" quotePrefix="1" applyFont="1" applyFill="1" applyBorder="1" applyAlignment="1">
      <alignment horizontal="center" vertical="center" wrapText="1"/>
    </xf>
    <xf numFmtId="2" fontId="33" fillId="0" borderId="34" xfId="1" quotePrefix="1" applyNumberFormat="1" applyFont="1" applyFill="1" applyBorder="1" applyAlignment="1">
      <alignment horizontal="center" vertical="center" wrapText="1"/>
    </xf>
    <xf numFmtId="2" fontId="7" fillId="0" borderId="24" xfId="1" quotePrefix="1" applyNumberFormat="1" applyFont="1" applyFill="1" applyBorder="1" applyAlignment="1">
      <alignment horizontal="center" vertical="center" wrapText="1"/>
    </xf>
    <xf numFmtId="0" fontId="33" fillId="0" borderId="25" xfId="5" applyFont="1" applyFill="1" applyBorder="1" applyAlignment="1">
      <alignment horizontal="center" vertical="top" wrapText="1"/>
    </xf>
    <xf numFmtId="2" fontId="33" fillId="0" borderId="34" xfId="1" applyNumberFormat="1" applyFont="1" applyFill="1" applyBorder="1" applyAlignment="1">
      <alignment horizontal="center" vertical="center" wrapText="1"/>
    </xf>
    <xf numFmtId="0" fontId="33" fillId="0" borderId="27" xfId="5" applyFont="1" applyFill="1" applyBorder="1" applyAlignment="1">
      <alignment horizontal="left" vertical="top" wrapText="1"/>
    </xf>
    <xf numFmtId="0" fontId="9" fillId="5" borderId="13" xfId="1" applyFont="1" applyFill="1" applyBorder="1" applyAlignment="1">
      <alignment horizontal="center" vertical="center"/>
    </xf>
    <xf numFmtId="0" fontId="9" fillId="5" borderId="15" xfId="1" applyFont="1" applyFill="1" applyBorder="1" applyAlignment="1">
      <alignment horizontal="center" vertical="center"/>
    </xf>
    <xf numFmtId="3" fontId="11" fillId="2" borderId="36" xfId="1" applyNumberFormat="1" applyFont="1" applyFill="1" applyBorder="1" applyAlignment="1">
      <alignment horizontal="left" vertical="center" wrapText="1"/>
    </xf>
    <xf numFmtId="3" fontId="11" fillId="2" borderId="38" xfId="1" applyNumberFormat="1" applyFont="1" applyFill="1" applyBorder="1" applyAlignment="1">
      <alignment horizontal="left" vertical="center" wrapText="1"/>
    </xf>
    <xf numFmtId="0" fontId="20" fillId="2" borderId="0" xfId="1" applyNumberFormat="1" applyFont="1" applyFill="1" applyBorder="1" applyAlignment="1">
      <alignment wrapText="1"/>
    </xf>
    <xf numFmtId="0" fontId="9" fillId="5" borderId="13" xfId="1" quotePrefix="1" applyFont="1" applyFill="1" applyBorder="1" applyAlignment="1">
      <alignment horizontal="center" vertical="center"/>
    </xf>
    <xf numFmtId="0" fontId="9" fillId="5" borderId="15" xfId="1" quotePrefix="1" applyFont="1" applyFill="1" applyBorder="1" applyAlignment="1">
      <alignment horizontal="center" vertical="center"/>
    </xf>
    <xf numFmtId="0" fontId="9" fillId="5" borderId="13" xfId="1" quotePrefix="1" applyFont="1" applyFill="1" applyBorder="1" applyAlignment="1">
      <alignment horizontal="center" vertical="center" wrapText="1"/>
    </xf>
    <xf numFmtId="0" fontId="9" fillId="5" borderId="15" xfId="1" quotePrefix="1" applyFont="1" applyFill="1" applyBorder="1" applyAlignment="1">
      <alignment horizontal="center" vertical="center" wrapText="1"/>
    </xf>
    <xf numFmtId="0" fontId="11" fillId="2" borderId="25" xfId="14" applyFont="1" applyFill="1" applyBorder="1" applyAlignment="1">
      <alignment vertical="center" wrapText="1"/>
    </xf>
    <xf numFmtId="0" fontId="11" fillId="2" borderId="27" xfId="14" applyFont="1" applyFill="1" applyBorder="1" applyAlignment="1">
      <alignment vertical="center" wrapText="1"/>
    </xf>
    <xf numFmtId="3" fontId="9" fillId="5" borderId="16" xfId="1" applyNumberFormat="1" applyFont="1" applyFill="1" applyBorder="1" applyAlignment="1">
      <alignment horizontal="left" vertical="center" wrapText="1"/>
    </xf>
    <xf numFmtId="3" fontId="9" fillId="5" borderId="14" xfId="1" applyNumberFormat="1" applyFont="1" applyFill="1" applyBorder="1" applyAlignment="1">
      <alignment horizontal="left" vertical="center" wrapText="1"/>
    </xf>
    <xf numFmtId="3" fontId="9" fillId="5" borderId="15" xfId="1" applyNumberFormat="1" applyFont="1" applyFill="1" applyBorder="1" applyAlignment="1">
      <alignment horizontal="left" vertical="center" wrapText="1"/>
    </xf>
    <xf numFmtId="0" fontId="11" fillId="2" borderId="36" xfId="14" applyFont="1" applyFill="1" applyBorder="1" applyAlignment="1">
      <alignment vertical="center" wrapText="1"/>
    </xf>
    <xf numFmtId="0" fontId="11" fillId="2" borderId="38" xfId="14" applyFont="1" applyFill="1" applyBorder="1" applyAlignment="1">
      <alignment vertical="center" wrapText="1"/>
    </xf>
    <xf numFmtId="0" fontId="11" fillId="2" borderId="25" xfId="14" applyFont="1" applyFill="1" applyBorder="1" applyAlignment="1">
      <alignment horizontal="left" vertical="center" wrapText="1"/>
    </xf>
    <xf numFmtId="0" fontId="11" fillId="2" borderId="27" xfId="14" applyFont="1" applyFill="1" applyBorder="1" applyAlignment="1">
      <alignment horizontal="left" vertical="center" wrapText="1"/>
    </xf>
    <xf numFmtId="3" fontId="11" fillId="2" borderId="25" xfId="1" applyNumberFormat="1" applyFont="1" applyFill="1" applyBorder="1" applyAlignment="1">
      <alignment horizontal="left" vertical="center" wrapText="1"/>
    </xf>
    <xf numFmtId="3" fontId="11" fillId="2" borderId="27" xfId="1" applyNumberFormat="1" applyFont="1" applyFill="1" applyBorder="1" applyAlignment="1">
      <alignment horizontal="left" vertical="center" wrapText="1"/>
    </xf>
    <xf numFmtId="0" fontId="11" fillId="2" borderId="29" xfId="1" quotePrefix="1" applyFont="1" applyFill="1" applyBorder="1" applyAlignment="1">
      <alignment horizontal="left" vertical="center" wrapText="1"/>
    </xf>
    <xf numFmtId="0" fontId="11" fillId="2" borderId="33" xfId="1" applyFont="1" applyFill="1" applyBorder="1" applyAlignment="1">
      <alignment horizontal="left" vertical="center" wrapText="1"/>
    </xf>
    <xf numFmtId="0" fontId="11" fillId="2" borderId="39" xfId="14" applyFont="1" applyFill="1" applyBorder="1" applyAlignment="1">
      <alignment horizontal="left" vertical="center" wrapText="1"/>
    </xf>
    <xf numFmtId="0" fontId="11" fillId="2" borderId="22" xfId="14" applyFont="1" applyFill="1" applyBorder="1" applyAlignment="1">
      <alignment horizontal="left" vertical="center" wrapText="1"/>
    </xf>
    <xf numFmtId="0" fontId="11" fillId="2" borderId="25" xfId="14" quotePrefix="1" applyFont="1" applyFill="1" applyBorder="1" applyAlignment="1">
      <alignment vertical="center" wrapText="1"/>
    </xf>
    <xf numFmtId="0" fontId="11" fillId="2" borderId="27" xfId="14" quotePrefix="1" applyFont="1" applyFill="1" applyBorder="1" applyAlignment="1">
      <alignment vertical="center" wrapText="1"/>
    </xf>
    <xf numFmtId="0" fontId="13" fillId="2" borderId="43" xfId="1" quotePrefix="1" applyFont="1" applyFill="1" applyBorder="1" applyAlignment="1">
      <alignment horizontal="left" vertical="center" wrapText="1"/>
    </xf>
    <xf numFmtId="0" fontId="13" fillId="2" borderId="45" xfId="1" quotePrefix="1" applyFont="1" applyFill="1" applyBorder="1" applyAlignment="1">
      <alignment horizontal="left" vertical="center" wrapText="1"/>
    </xf>
    <xf numFmtId="3" fontId="11" fillId="0" borderId="25" xfId="1" applyNumberFormat="1" applyFont="1" applyFill="1" applyBorder="1" applyAlignment="1">
      <alignment horizontal="left" vertical="center" wrapText="1"/>
    </xf>
    <xf numFmtId="3" fontId="11" fillId="0" borderId="27" xfId="1" applyNumberFormat="1" applyFont="1" applyFill="1" applyBorder="1" applyAlignment="1">
      <alignment horizontal="left" vertical="center" wrapText="1"/>
    </xf>
    <xf numFmtId="0" fontId="11" fillId="2" borderId="39" xfId="5" applyFont="1" applyFill="1" applyBorder="1" applyAlignment="1">
      <alignment horizontal="left" vertical="center" wrapText="1"/>
    </xf>
    <xf numFmtId="0" fontId="11" fillId="2" borderId="22" xfId="5" applyFont="1" applyFill="1" applyBorder="1" applyAlignment="1">
      <alignment horizontal="left" vertical="center" wrapText="1"/>
    </xf>
    <xf numFmtId="0" fontId="11" fillId="2" borderId="25" xfId="5" applyFont="1" applyFill="1" applyBorder="1" applyAlignment="1">
      <alignment horizontal="left" vertical="center" wrapText="1"/>
    </xf>
    <xf numFmtId="0" fontId="11" fillId="2" borderId="27" xfId="5" applyFont="1" applyFill="1" applyBorder="1" applyAlignment="1">
      <alignment horizontal="left" vertical="center" wrapText="1"/>
    </xf>
    <xf numFmtId="0" fontId="9" fillId="5" borderId="16" xfId="1" applyFont="1" applyFill="1" applyBorder="1" applyAlignment="1">
      <alignment vertical="center" wrapText="1"/>
    </xf>
    <xf numFmtId="0" fontId="9" fillId="5" borderId="14" xfId="1" applyFont="1" applyFill="1" applyBorder="1" applyAlignment="1">
      <alignment vertical="center" wrapText="1"/>
    </xf>
    <xf numFmtId="0" fontId="9" fillId="5" borderId="15" xfId="1" applyFont="1" applyFill="1" applyBorder="1" applyAlignment="1">
      <alignment vertical="center" wrapText="1"/>
    </xf>
    <xf numFmtId="0" fontId="11" fillId="2" borderId="36" xfId="5" applyFont="1" applyFill="1" applyBorder="1" applyAlignment="1">
      <alignment horizontal="left" vertical="center" wrapText="1"/>
    </xf>
    <xf numFmtId="0" fontId="11" fillId="2" borderId="38" xfId="5" applyFont="1" applyFill="1" applyBorder="1" applyAlignment="1">
      <alignment horizontal="left" vertical="center" wrapText="1"/>
    </xf>
    <xf numFmtId="0" fontId="13" fillId="2" borderId="43" xfId="1" quotePrefix="1" applyFont="1" applyFill="1" applyBorder="1" applyAlignment="1">
      <alignment horizontal="center" vertical="center" wrapText="1"/>
    </xf>
    <xf numFmtId="0" fontId="13" fillId="2" borderId="45" xfId="1" quotePrefix="1" applyFont="1" applyFill="1" applyBorder="1" applyAlignment="1">
      <alignment horizontal="center" vertical="center" wrapText="1"/>
    </xf>
    <xf numFmtId="0" fontId="11" fillId="6" borderId="25" xfId="5" applyFont="1" applyFill="1" applyBorder="1" applyAlignment="1">
      <alignment horizontal="left" vertical="center" wrapText="1"/>
    </xf>
    <xf numFmtId="0" fontId="11" fillId="6" borderId="27" xfId="5" applyFont="1" applyFill="1" applyBorder="1" applyAlignment="1">
      <alignment horizontal="left" vertical="center" wrapText="1"/>
    </xf>
    <xf numFmtId="0" fontId="11" fillId="7" borderId="25" xfId="14" applyFont="1" applyFill="1" applyBorder="1" applyAlignment="1">
      <alignment vertical="center" wrapText="1"/>
    </xf>
    <xf numFmtId="0" fontId="11" fillId="7" borderId="27" xfId="14" applyFont="1" applyFill="1" applyBorder="1" applyAlignment="1">
      <alignment vertical="center" wrapText="1"/>
    </xf>
    <xf numFmtId="0" fontId="11" fillId="7" borderId="25" xfId="5" applyFont="1" applyFill="1" applyBorder="1" applyAlignment="1">
      <alignment horizontal="left" vertical="center" wrapText="1"/>
    </xf>
    <xf numFmtId="0" fontId="11" fillId="7" borderId="27" xfId="5" applyFont="1" applyFill="1" applyBorder="1" applyAlignment="1">
      <alignment horizontal="left" vertical="center" wrapText="1"/>
    </xf>
    <xf numFmtId="0" fontId="11" fillId="2" borderId="25" xfId="1" quotePrefix="1" applyFont="1" applyFill="1" applyBorder="1" applyAlignment="1">
      <alignment horizontal="left" vertical="center" wrapText="1"/>
    </xf>
    <xf numFmtId="0" fontId="11" fillId="2" borderId="27" xfId="1" quotePrefix="1" applyFont="1" applyFill="1" applyBorder="1" applyAlignment="1">
      <alignment horizontal="left" vertical="center" wrapText="1"/>
    </xf>
    <xf numFmtId="0" fontId="11" fillId="2" borderId="25" xfId="1" applyFont="1" applyFill="1" applyBorder="1" applyAlignment="1">
      <alignment horizontal="left" vertical="center" wrapText="1"/>
    </xf>
    <xf numFmtId="0" fontId="11" fillId="2" borderId="27" xfId="1" applyFont="1" applyFill="1" applyBorder="1" applyAlignment="1">
      <alignment horizontal="left" vertical="center" wrapText="1"/>
    </xf>
    <xf numFmtId="0" fontId="11" fillId="7" borderId="25" xfId="1" applyFont="1" applyFill="1" applyBorder="1" applyAlignment="1">
      <alignment horizontal="left" vertical="center" wrapText="1"/>
    </xf>
    <xf numFmtId="0" fontId="11" fillId="7" borderId="27" xfId="1" applyFont="1" applyFill="1" applyBorder="1" applyAlignment="1">
      <alignment horizontal="left" vertical="center" wrapText="1"/>
    </xf>
    <xf numFmtId="0" fontId="11" fillId="7" borderId="25" xfId="1" quotePrefix="1" applyFont="1" applyFill="1" applyBorder="1" applyAlignment="1">
      <alignment horizontal="left" vertical="center" wrapText="1"/>
    </xf>
    <xf numFmtId="0" fontId="11" fillId="7" borderId="27" xfId="1" quotePrefix="1" applyFont="1" applyFill="1" applyBorder="1" applyAlignment="1">
      <alignment horizontal="left" vertical="center" wrapText="1"/>
    </xf>
    <xf numFmtId="0" fontId="11" fillId="2" borderId="25" xfId="1" applyFont="1" applyFill="1" applyBorder="1" applyAlignment="1">
      <alignment vertical="center" wrapText="1"/>
    </xf>
    <xf numFmtId="0" fontId="11" fillId="2" borderId="27" xfId="1" applyFont="1" applyFill="1" applyBorder="1" applyAlignment="1">
      <alignment vertical="center" wrapText="1"/>
    </xf>
    <xf numFmtId="0" fontId="9" fillId="5" borderId="16" xfId="1" applyFont="1" applyFill="1" applyBorder="1" applyAlignment="1">
      <alignment horizontal="left" vertical="center" wrapText="1"/>
    </xf>
    <xf numFmtId="0" fontId="9" fillId="5" borderId="14" xfId="1" applyFont="1" applyFill="1" applyBorder="1" applyAlignment="1">
      <alignment horizontal="left" vertical="center" wrapText="1"/>
    </xf>
    <xf numFmtId="0" fontId="9" fillId="5" borderId="15" xfId="1" applyFont="1" applyFill="1" applyBorder="1" applyAlignment="1">
      <alignment horizontal="left" vertical="center" wrapText="1"/>
    </xf>
    <xf numFmtId="0" fontId="11" fillId="0" borderId="36" xfId="1" applyFont="1" applyFill="1" applyBorder="1" applyAlignment="1">
      <alignment horizontal="left" vertical="center" wrapText="1"/>
    </xf>
    <xf numFmtId="0" fontId="11" fillId="0" borderId="38" xfId="1" applyFont="1" applyFill="1" applyBorder="1" applyAlignment="1">
      <alignment horizontal="left" vertical="center" wrapText="1"/>
    </xf>
    <xf numFmtId="0" fontId="11" fillId="0" borderId="25" xfId="1" applyFont="1" applyFill="1" applyBorder="1" applyAlignment="1">
      <alignment horizontal="left" vertical="center" wrapText="1"/>
    </xf>
    <xf numFmtId="0" fontId="11" fillId="0" borderId="27" xfId="1" applyFont="1" applyFill="1" applyBorder="1" applyAlignment="1">
      <alignment horizontal="left" vertical="center" wrapText="1"/>
    </xf>
    <xf numFmtId="0" fontId="11" fillId="2" borderId="39" xfId="1" applyFont="1" applyFill="1" applyBorder="1" applyAlignment="1">
      <alignment vertical="center" wrapText="1"/>
    </xf>
    <xf numFmtId="0" fontId="11" fillId="2" borderId="22" xfId="1" applyFont="1" applyFill="1" applyBorder="1" applyAlignment="1">
      <alignment vertical="center" wrapText="1"/>
    </xf>
    <xf numFmtId="0" fontId="11" fillId="2" borderId="36" xfId="1" applyFont="1" applyFill="1" applyBorder="1" applyAlignment="1">
      <alignment vertical="center" wrapText="1"/>
    </xf>
    <xf numFmtId="0" fontId="11" fillId="2" borderId="38" xfId="1" applyFont="1" applyFill="1" applyBorder="1" applyAlignment="1">
      <alignment vertical="center" wrapText="1"/>
    </xf>
    <xf numFmtId="0" fontId="11" fillId="2" borderId="25" xfId="9" applyFont="1" applyFill="1" applyBorder="1" applyAlignment="1">
      <alignment horizontal="justify" vertical="center"/>
    </xf>
    <xf numFmtId="0" fontId="11" fillId="2" borderId="27" xfId="9" applyFont="1" applyFill="1" applyBorder="1" applyAlignment="1">
      <alignment horizontal="justify" vertical="center"/>
    </xf>
    <xf numFmtId="0" fontId="11" fillId="7" borderId="25" xfId="9" applyFont="1" applyFill="1" applyBorder="1" applyAlignment="1">
      <alignment horizontal="left" vertical="center"/>
    </xf>
    <xf numFmtId="0" fontId="11" fillId="7" borderId="27" xfId="9" applyFont="1" applyFill="1" applyBorder="1" applyAlignment="1">
      <alignment horizontal="left" vertical="center"/>
    </xf>
    <xf numFmtId="0" fontId="11" fillId="7" borderId="25" xfId="9" applyFont="1" applyFill="1" applyBorder="1" applyAlignment="1">
      <alignment horizontal="justify" vertical="center"/>
    </xf>
    <xf numFmtId="0" fontId="11" fillId="7" borderId="27" xfId="9" applyFont="1" applyFill="1" applyBorder="1" applyAlignment="1">
      <alignment horizontal="justify" vertical="center"/>
    </xf>
    <xf numFmtId="0" fontId="11" fillId="2" borderId="36" xfId="9" applyFont="1" applyFill="1" applyBorder="1" applyAlignment="1">
      <alignment horizontal="justify" vertical="center"/>
    </xf>
    <xf numFmtId="0" fontId="11" fillId="2" borderId="38" xfId="9" applyFont="1" applyFill="1" applyBorder="1" applyAlignment="1">
      <alignment horizontal="justify" vertical="center"/>
    </xf>
    <xf numFmtId="0" fontId="11" fillId="0" borderId="25" xfId="5" applyFont="1" applyBorder="1" applyAlignment="1">
      <alignment horizontal="left" vertical="center" wrapText="1"/>
    </xf>
    <xf numFmtId="0" fontId="11" fillId="0" borderId="27" xfId="5" applyFont="1" applyBorder="1" applyAlignment="1">
      <alignment horizontal="left" vertical="center" wrapText="1"/>
    </xf>
    <xf numFmtId="0" fontId="11" fillId="0" borderId="25" xfId="5" applyFont="1" applyBorder="1" applyAlignment="1">
      <alignment vertical="center" wrapText="1"/>
    </xf>
    <xf numFmtId="0" fontId="11" fillId="0" borderId="27" xfId="5" applyFont="1" applyBorder="1" applyAlignment="1">
      <alignment vertical="center" wrapText="1"/>
    </xf>
    <xf numFmtId="0" fontId="11" fillId="0" borderId="24" xfId="5" applyFont="1" applyFill="1" applyBorder="1" applyAlignment="1">
      <alignment horizontal="left" vertical="center" wrapText="1"/>
    </xf>
    <xf numFmtId="0" fontId="11" fillId="0" borderId="25" xfId="5" applyFont="1" applyFill="1" applyBorder="1" applyAlignment="1">
      <alignment horizontal="left" vertical="center" wrapText="1"/>
    </xf>
    <xf numFmtId="0" fontId="11" fillId="0" borderId="27" xfId="5" applyFont="1" applyFill="1" applyBorder="1" applyAlignment="1">
      <alignment horizontal="left" vertical="center" wrapText="1"/>
    </xf>
    <xf numFmtId="3" fontId="11" fillId="2" borderId="25" xfId="5" applyNumberFormat="1" applyFont="1" applyFill="1" applyBorder="1" applyAlignment="1">
      <alignment horizontal="left" vertical="center" wrapText="1"/>
    </xf>
    <xf numFmtId="3" fontId="11" fillId="2" borderId="26" xfId="5" applyNumberFormat="1" applyFont="1" applyFill="1" applyBorder="1" applyAlignment="1">
      <alignment horizontal="left" vertical="center" wrapText="1"/>
    </xf>
    <xf numFmtId="3" fontId="11" fillId="2" borderId="27" xfId="5" applyNumberFormat="1" applyFont="1" applyFill="1" applyBorder="1" applyAlignment="1">
      <alignment horizontal="left" vertical="center" wrapText="1"/>
    </xf>
    <xf numFmtId="0" fontId="9" fillId="4" borderId="9" xfId="1" applyFont="1" applyFill="1" applyBorder="1" applyAlignment="1">
      <alignment horizontal="center" vertical="center" wrapText="1"/>
    </xf>
    <xf numFmtId="0" fontId="9" fillId="4" borderId="7" xfId="1" applyFont="1" applyFill="1" applyBorder="1" applyAlignment="1">
      <alignment horizontal="center" vertical="center" wrapText="1"/>
    </xf>
    <xf numFmtId="0" fontId="9" fillId="4" borderId="8" xfId="1" applyFont="1" applyFill="1" applyBorder="1" applyAlignment="1">
      <alignment horizontal="center" vertical="center" wrapText="1"/>
    </xf>
    <xf numFmtId="0" fontId="9" fillId="5" borderId="16" xfId="5" applyFont="1" applyFill="1" applyBorder="1" applyAlignment="1">
      <alignment horizontal="left" vertical="center"/>
    </xf>
    <xf numFmtId="0" fontId="9" fillId="5" borderId="14" xfId="5" applyFont="1" applyFill="1" applyBorder="1" applyAlignment="1">
      <alignment horizontal="left" vertical="center"/>
    </xf>
    <xf numFmtId="0" fontId="9" fillId="5" borderId="15" xfId="5" applyFont="1" applyFill="1" applyBorder="1" applyAlignment="1">
      <alignment horizontal="left" vertical="center"/>
    </xf>
    <xf numFmtId="3" fontId="11" fillId="0" borderId="36" xfId="5" applyNumberFormat="1" applyFont="1" applyFill="1" applyBorder="1" applyAlignment="1">
      <alignment horizontal="left" vertical="center" wrapText="1"/>
    </xf>
    <xf numFmtId="3" fontId="11" fillId="0" borderId="37" xfId="5" applyNumberFormat="1" applyFont="1" applyFill="1" applyBorder="1" applyAlignment="1">
      <alignment horizontal="left" vertical="center" wrapText="1"/>
    </xf>
    <xf numFmtId="3" fontId="11" fillId="0" borderId="38" xfId="5" applyNumberFormat="1" applyFont="1" applyFill="1" applyBorder="1" applyAlignment="1">
      <alignment horizontal="left" vertical="center" wrapText="1"/>
    </xf>
    <xf numFmtId="0" fontId="9" fillId="2" borderId="43" xfId="1" quotePrefix="1" applyFont="1" applyFill="1" applyBorder="1" applyAlignment="1">
      <alignment horizontal="center" vertical="center" wrapText="1"/>
    </xf>
    <xf numFmtId="0" fontId="9" fillId="2" borderId="44" xfId="1" quotePrefix="1" applyFont="1" applyFill="1" applyBorder="1" applyAlignment="1">
      <alignment horizontal="center" vertical="center" wrapText="1"/>
    </xf>
    <xf numFmtId="0" fontId="9" fillId="2" borderId="45" xfId="1" quotePrefix="1" applyFont="1" applyFill="1" applyBorder="1" applyAlignment="1">
      <alignment horizontal="center" vertical="center" wrapText="1"/>
    </xf>
    <xf numFmtId="3" fontId="9" fillId="5" borderId="16" xfId="5" applyNumberFormat="1" applyFont="1" applyFill="1" applyBorder="1" applyAlignment="1">
      <alignment horizontal="left" vertical="center" wrapText="1"/>
    </xf>
    <xf numFmtId="3" fontId="9" fillId="5" borderId="14" xfId="5" applyNumberFormat="1" applyFont="1" applyFill="1" applyBorder="1" applyAlignment="1">
      <alignment horizontal="left" vertical="center" wrapText="1"/>
    </xf>
    <xf numFmtId="3" fontId="9" fillId="5" borderId="15" xfId="5" applyNumberFormat="1" applyFont="1" applyFill="1" applyBorder="1" applyAlignment="1">
      <alignment horizontal="left" vertical="center" wrapText="1"/>
    </xf>
    <xf numFmtId="3" fontId="11" fillId="2" borderId="36" xfId="5" applyNumberFormat="1" applyFont="1" applyFill="1" applyBorder="1" applyAlignment="1">
      <alignment horizontal="left" vertical="center" wrapText="1"/>
    </xf>
    <xf numFmtId="3" fontId="11" fillId="2" borderId="37" xfId="5" applyNumberFormat="1" applyFont="1" applyFill="1" applyBorder="1" applyAlignment="1">
      <alignment horizontal="left" vertical="center" wrapText="1"/>
    </xf>
    <xf numFmtId="3" fontId="11" fillId="2" borderId="38" xfId="5" applyNumberFormat="1" applyFont="1" applyFill="1" applyBorder="1" applyAlignment="1">
      <alignment horizontal="left" vertical="center" wrapText="1"/>
    </xf>
    <xf numFmtId="3" fontId="11" fillId="2" borderId="29" xfId="5" applyNumberFormat="1" applyFont="1" applyFill="1" applyBorder="1" applyAlignment="1">
      <alignment horizontal="left" vertical="center" wrapText="1"/>
    </xf>
    <xf numFmtId="3" fontId="11" fillId="2" borderId="31" xfId="5" applyNumberFormat="1" applyFont="1" applyFill="1" applyBorder="1" applyAlignment="1">
      <alignment horizontal="left" vertical="center" wrapText="1"/>
    </xf>
    <xf numFmtId="3" fontId="11" fillId="2" borderId="33" xfId="5" applyNumberFormat="1" applyFont="1" applyFill="1" applyBorder="1" applyAlignment="1">
      <alignment horizontal="left" vertical="center" wrapText="1"/>
    </xf>
    <xf numFmtId="3" fontId="11" fillId="0" borderId="39" xfId="1" applyNumberFormat="1" applyFont="1" applyFill="1" applyBorder="1" applyAlignment="1">
      <alignment horizontal="left" vertical="center" wrapText="1"/>
    </xf>
    <xf numFmtId="3" fontId="11" fillId="0" borderId="40" xfId="1" applyNumberFormat="1" applyFont="1" applyFill="1" applyBorder="1" applyAlignment="1">
      <alignment horizontal="left" vertical="center" wrapText="1"/>
    </xf>
    <xf numFmtId="3" fontId="11" fillId="0" borderId="22" xfId="1" applyNumberFormat="1" applyFont="1" applyFill="1" applyBorder="1" applyAlignment="1">
      <alignment horizontal="left" vertical="center" wrapText="1"/>
    </xf>
    <xf numFmtId="0" fontId="11" fillId="0" borderId="44" xfId="1" quotePrefix="1" applyFont="1" applyFill="1" applyBorder="1" applyAlignment="1">
      <alignment horizontal="center" vertical="center" wrapText="1"/>
    </xf>
    <xf numFmtId="0" fontId="11" fillId="0" borderId="45" xfId="1" quotePrefix="1" applyFont="1" applyFill="1" applyBorder="1" applyAlignment="1">
      <alignment horizontal="center" vertical="center" wrapText="1"/>
    </xf>
    <xf numFmtId="0" fontId="11" fillId="2" borderId="43" xfId="1" quotePrefix="1" applyFont="1" applyFill="1" applyBorder="1" applyAlignment="1">
      <alignment horizontal="center" vertical="center" wrapText="1"/>
    </xf>
    <xf numFmtId="0" fontId="11" fillId="2" borderId="44" xfId="1" quotePrefix="1" applyFont="1" applyFill="1" applyBorder="1" applyAlignment="1">
      <alignment horizontal="center" vertical="center" wrapText="1"/>
    </xf>
    <xf numFmtId="0" fontId="11" fillId="2" borderId="45" xfId="1" quotePrefix="1" applyFont="1" applyFill="1" applyBorder="1" applyAlignment="1">
      <alignment horizontal="center" vertical="center" wrapText="1"/>
    </xf>
    <xf numFmtId="0" fontId="7" fillId="0" borderId="26" xfId="5" applyFont="1" applyFill="1" applyBorder="1" applyAlignment="1">
      <alignment vertical="center" wrapText="1"/>
    </xf>
    <xf numFmtId="0" fontId="7" fillId="0" borderId="27" xfId="5" applyFont="1" applyFill="1" applyBorder="1" applyAlignment="1">
      <alignment vertical="center" wrapText="1"/>
    </xf>
    <xf numFmtId="0" fontId="11" fillId="0" borderId="25" xfId="1" quotePrefix="1" applyFont="1" applyFill="1" applyBorder="1" applyAlignment="1">
      <alignment horizontal="left" vertical="center" wrapText="1"/>
    </xf>
    <xf numFmtId="0" fontId="11" fillId="0" borderId="26" xfId="1" quotePrefix="1" applyFont="1" applyFill="1" applyBorder="1" applyAlignment="1">
      <alignment horizontal="left" vertical="center" wrapText="1"/>
    </xf>
    <xf numFmtId="0" fontId="11" fillId="0" borderId="27" xfId="1" quotePrefix="1" applyFont="1" applyFill="1" applyBorder="1" applyAlignment="1">
      <alignment horizontal="left" vertical="center" wrapText="1"/>
    </xf>
    <xf numFmtId="3" fontId="11" fillId="0" borderId="24" xfId="1" applyNumberFormat="1" applyFont="1" applyFill="1" applyBorder="1" applyAlignment="1">
      <alignment horizontal="left" vertical="center" wrapText="1"/>
    </xf>
    <xf numFmtId="3" fontId="11" fillId="0" borderId="26" xfId="1" applyNumberFormat="1" applyFont="1" applyFill="1" applyBorder="1" applyAlignment="1">
      <alignment horizontal="left" vertical="center" wrapText="1"/>
    </xf>
    <xf numFmtId="3" fontId="11" fillId="0" borderId="25" xfId="5" applyNumberFormat="1" applyFont="1" applyFill="1" applyBorder="1" applyAlignment="1">
      <alignment horizontal="left" vertical="center" wrapText="1"/>
    </xf>
    <xf numFmtId="3" fontId="11" fillId="0" borderId="26" xfId="5" applyNumberFormat="1" applyFont="1" applyFill="1" applyBorder="1" applyAlignment="1">
      <alignment horizontal="left" vertical="center" wrapText="1"/>
    </xf>
    <xf numFmtId="3" fontId="11" fillId="0" borderId="27" xfId="5" applyNumberFormat="1" applyFont="1" applyFill="1" applyBorder="1" applyAlignment="1">
      <alignment horizontal="left" vertical="center" wrapText="1"/>
    </xf>
    <xf numFmtId="0" fontId="9" fillId="0" borderId="16" xfId="5" applyFont="1" applyFill="1" applyBorder="1" applyAlignment="1">
      <alignment horizontal="left" vertical="center" wrapText="1"/>
    </xf>
    <xf numFmtId="0" fontId="9" fillId="0" borderId="14" xfId="5" applyFont="1" applyFill="1" applyBorder="1" applyAlignment="1">
      <alignment horizontal="left" vertical="center" wrapText="1"/>
    </xf>
    <xf numFmtId="0" fontId="9" fillId="0" borderId="15" xfId="5" applyFont="1" applyFill="1" applyBorder="1" applyAlignment="1">
      <alignment horizontal="left" vertical="center" wrapText="1"/>
    </xf>
    <xf numFmtId="3" fontId="11" fillId="0" borderId="29" xfId="5" applyNumberFormat="1" applyFont="1" applyFill="1" applyBorder="1" applyAlignment="1">
      <alignment horizontal="left" vertical="center" wrapText="1"/>
    </xf>
    <xf numFmtId="3" fontId="11" fillId="0" borderId="31" xfId="5" applyNumberFormat="1" applyFont="1" applyFill="1" applyBorder="1" applyAlignment="1">
      <alignment horizontal="left" vertical="center" wrapText="1"/>
    </xf>
    <xf numFmtId="3" fontId="11" fillId="0" borderId="33" xfId="5" applyNumberFormat="1" applyFont="1" applyFill="1" applyBorder="1" applyAlignment="1">
      <alignment horizontal="left" vertical="center" wrapText="1"/>
    </xf>
    <xf numFmtId="0" fontId="9" fillId="2" borderId="13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9" fillId="4" borderId="14" xfId="1" applyFont="1" applyFill="1" applyBorder="1" applyAlignment="1">
      <alignment horizontal="center" vertical="center" wrapText="1"/>
    </xf>
    <xf numFmtId="0" fontId="9" fillId="4" borderId="15" xfId="1" applyFont="1" applyFill="1" applyBorder="1" applyAlignment="1">
      <alignment horizontal="center" vertical="center" wrapText="1"/>
    </xf>
    <xf numFmtId="0" fontId="9" fillId="5" borderId="16" xfId="5" applyFont="1" applyFill="1" applyBorder="1" applyAlignment="1">
      <alignment horizontal="left" vertical="center" wrapText="1"/>
    </xf>
    <xf numFmtId="0" fontId="9" fillId="5" borderId="14" xfId="5" applyFont="1" applyFill="1" applyBorder="1" applyAlignment="1">
      <alignment horizontal="left" vertical="center" wrapText="1"/>
    </xf>
    <xf numFmtId="0" fontId="9" fillId="5" borderId="15" xfId="5" applyFont="1" applyFill="1" applyBorder="1" applyAlignment="1">
      <alignment horizontal="left" vertical="center" wrapText="1"/>
    </xf>
    <xf numFmtId="0" fontId="9" fillId="3" borderId="59" xfId="2" applyNumberFormat="1" applyFont="1" applyFill="1" applyBorder="1" applyAlignment="1">
      <alignment horizontal="center" vertical="center" wrapText="1"/>
    </xf>
    <xf numFmtId="0" fontId="9" fillId="3" borderId="12" xfId="2" applyNumberFormat="1" applyFont="1" applyFill="1" applyBorder="1" applyAlignment="1">
      <alignment horizontal="center" vertical="center" wrapText="1"/>
    </xf>
    <xf numFmtId="0" fontId="20" fillId="2" borderId="0" xfId="1" applyNumberFormat="1" applyFont="1" applyFill="1" applyAlignment="1">
      <alignment horizontal="center"/>
    </xf>
    <xf numFmtId="0" fontId="20" fillId="2" borderId="0" xfId="1" applyNumberFormat="1" applyFont="1" applyFill="1" applyBorder="1" applyAlignment="1">
      <alignment horizontal="center" vertical="center"/>
    </xf>
    <xf numFmtId="0" fontId="20" fillId="2" borderId="0" xfId="1" applyNumberFormat="1" applyFont="1" applyFill="1" applyBorder="1" applyAlignment="1">
      <alignment horizontal="left"/>
    </xf>
    <xf numFmtId="0" fontId="9" fillId="3" borderId="1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0" fontId="9" fillId="3" borderId="5" xfId="2" applyNumberFormat="1" applyFont="1" applyFill="1" applyBorder="1" applyAlignment="1">
      <alignment horizontal="center" vertical="center" wrapText="1"/>
    </xf>
    <xf numFmtId="0" fontId="9" fillId="3" borderId="10" xfId="2" applyNumberFormat="1" applyFont="1" applyFill="1" applyBorder="1" applyAlignment="1">
      <alignment horizontal="center" vertical="center" wrapText="1"/>
    </xf>
    <xf numFmtId="0" fontId="9" fillId="3" borderId="4" xfId="2" applyNumberFormat="1" applyFont="1" applyFill="1" applyBorder="1" applyAlignment="1">
      <alignment horizontal="center" vertical="center" wrapText="1"/>
    </xf>
    <xf numFmtId="0" fontId="9" fillId="3" borderId="9" xfId="2" applyNumberFormat="1" applyFont="1" applyFill="1" applyBorder="1" applyAlignment="1">
      <alignment horizontal="center" vertical="center" wrapText="1"/>
    </xf>
    <xf numFmtId="165" fontId="9" fillId="3" borderId="3" xfId="3" applyNumberFormat="1" applyFont="1" applyFill="1" applyBorder="1" applyAlignment="1">
      <alignment horizontal="center" vertical="center" wrapText="1"/>
    </xf>
    <xf numFmtId="165" fontId="9" fillId="3" borderId="8" xfId="3" applyNumberFormat="1" applyFont="1" applyFill="1" applyBorder="1" applyAlignment="1">
      <alignment horizontal="center" vertical="center" wrapText="1"/>
    </xf>
    <xf numFmtId="165" fontId="9" fillId="3" borderId="4" xfId="3" applyNumberFormat="1" applyFont="1" applyFill="1" applyBorder="1" applyAlignment="1">
      <alignment horizontal="center" vertical="center" wrapText="1"/>
    </xf>
    <xf numFmtId="165" fontId="9" fillId="3" borderId="9" xfId="3" applyNumberFormat="1" applyFont="1" applyFill="1" applyBorder="1" applyAlignment="1">
      <alignment horizontal="center" vertical="center" wrapText="1"/>
    </xf>
    <xf numFmtId="0" fontId="11" fillId="7" borderId="36" xfId="5" applyFont="1" applyFill="1" applyBorder="1" applyAlignment="1">
      <alignment horizontal="left" vertical="center" wrapText="1"/>
    </xf>
    <xf numFmtId="0" fontId="11" fillId="7" borderId="38" xfId="5" applyFont="1" applyFill="1" applyBorder="1" applyAlignment="1">
      <alignment horizontal="left" vertical="center" wrapText="1"/>
    </xf>
    <xf numFmtId="165" fontId="9" fillId="3" borderId="59" xfId="3" applyNumberFormat="1" applyFont="1" applyFill="1" applyBorder="1" applyAlignment="1">
      <alignment horizontal="center" vertical="center" wrapText="1"/>
    </xf>
    <xf numFmtId="165" fontId="9" fillId="3" borderId="12" xfId="3" applyNumberFormat="1" applyFont="1" applyFill="1" applyBorder="1" applyAlignment="1">
      <alignment horizontal="center" vertical="center" wrapText="1"/>
    </xf>
    <xf numFmtId="0" fontId="9" fillId="4" borderId="13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11" fillId="0" borderId="16" xfId="5" applyFont="1" applyFill="1" applyBorder="1" applyAlignment="1">
      <alignment horizontal="left" vertical="center" wrapText="1"/>
    </xf>
    <xf numFmtId="0" fontId="11" fillId="0" borderId="14" xfId="5" applyFont="1" applyFill="1" applyBorder="1" applyAlignment="1">
      <alignment horizontal="left" vertical="center" wrapText="1"/>
    </xf>
    <xf numFmtId="0" fontId="11" fillId="0" borderId="15" xfId="5" applyFont="1" applyFill="1" applyBorder="1" applyAlignment="1">
      <alignment horizontal="left" vertical="center" wrapText="1"/>
    </xf>
    <xf numFmtId="0" fontId="11" fillId="0" borderId="13" xfId="1" quotePrefix="1" applyFont="1" applyFill="1" applyBorder="1" applyAlignment="1">
      <alignment horizontal="center" vertical="center"/>
    </xf>
    <xf numFmtId="0" fontId="11" fillId="0" borderId="14" xfId="1" quotePrefix="1" applyFont="1" applyFill="1" applyBorder="1" applyAlignment="1">
      <alignment horizontal="center" vertical="center"/>
    </xf>
    <xf numFmtId="3" fontId="11" fillId="0" borderId="16" xfId="5" applyNumberFormat="1" applyFont="1" applyFill="1" applyBorder="1" applyAlignment="1">
      <alignment horizontal="left" vertical="center" wrapText="1"/>
    </xf>
    <xf numFmtId="3" fontId="11" fillId="0" borderId="14" xfId="5" applyNumberFormat="1" applyFont="1" applyFill="1" applyBorder="1" applyAlignment="1">
      <alignment horizontal="left" vertical="center" wrapText="1"/>
    </xf>
    <xf numFmtId="3" fontId="11" fillId="0" borderId="15" xfId="5" applyNumberFormat="1" applyFont="1" applyFill="1" applyBorder="1" applyAlignment="1">
      <alignment horizontal="left" vertical="center" wrapText="1"/>
    </xf>
    <xf numFmtId="0" fontId="11" fillId="0" borderId="62" xfId="1" applyFont="1" applyFill="1" applyBorder="1" applyAlignment="1">
      <alignment horizontal="center" vertical="center"/>
    </xf>
    <xf numFmtId="0" fontId="11" fillId="0" borderId="63" xfId="1" applyFont="1" applyFill="1" applyBorder="1" applyAlignment="1">
      <alignment horizontal="center" vertical="center"/>
    </xf>
    <xf numFmtId="3" fontId="11" fillId="0" borderId="64" xfId="1" applyNumberFormat="1" applyFont="1" applyFill="1" applyBorder="1" applyAlignment="1">
      <alignment horizontal="left" vertical="center" wrapText="1"/>
    </xf>
    <xf numFmtId="3" fontId="11" fillId="0" borderId="65" xfId="1" applyNumberFormat="1" applyFont="1" applyFill="1" applyBorder="1" applyAlignment="1">
      <alignment horizontal="left" vertical="center" wrapText="1"/>
    </xf>
    <xf numFmtId="3" fontId="11" fillId="0" borderId="63" xfId="1" applyNumberFormat="1" applyFont="1" applyFill="1" applyBorder="1" applyAlignment="1">
      <alignment horizontal="left" vertical="center" wrapText="1"/>
    </xf>
    <xf numFmtId="0" fontId="11" fillId="0" borderId="13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3" fontId="11" fillId="0" borderId="16" xfId="1" applyNumberFormat="1" applyFont="1" applyFill="1" applyBorder="1" applyAlignment="1">
      <alignment horizontal="left" vertical="center" wrapText="1"/>
    </xf>
    <xf numFmtId="3" fontId="11" fillId="0" borderId="14" xfId="1" applyNumberFormat="1" applyFont="1" applyFill="1" applyBorder="1" applyAlignment="1">
      <alignment horizontal="left" vertical="center" wrapText="1"/>
    </xf>
    <xf numFmtId="3" fontId="11" fillId="0" borderId="15" xfId="1" applyNumberFormat="1" applyFont="1" applyFill="1" applyBorder="1" applyAlignment="1">
      <alignment horizontal="left" vertical="center" wrapText="1"/>
    </xf>
    <xf numFmtId="0" fontId="11" fillId="0" borderId="15" xfId="1" quotePrefix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vertical="center" wrapText="1"/>
    </xf>
    <xf numFmtId="0" fontId="11" fillId="0" borderId="14" xfId="1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 wrapText="1"/>
    </xf>
    <xf numFmtId="0" fontId="11" fillId="0" borderId="13" xfId="1" quotePrefix="1" applyFont="1" applyFill="1" applyBorder="1" applyAlignment="1">
      <alignment horizontal="center" vertical="center" wrapText="1"/>
    </xf>
    <xf numFmtId="0" fontId="11" fillId="0" borderId="15" xfId="1" quotePrefix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left" vertical="center" wrapText="1"/>
    </xf>
    <xf numFmtId="0" fontId="11" fillId="0" borderId="14" xfId="1" applyFont="1" applyFill="1" applyBorder="1" applyAlignment="1">
      <alignment horizontal="left" vertical="center" wrapText="1"/>
    </xf>
    <xf numFmtId="0" fontId="11" fillId="0" borderId="15" xfId="1" applyFont="1" applyFill="1" applyBorder="1" applyAlignment="1">
      <alignment horizontal="left" vertical="center" wrapText="1"/>
    </xf>
    <xf numFmtId="0" fontId="11" fillId="0" borderId="16" xfId="5" applyFont="1" applyFill="1" applyBorder="1" applyAlignment="1">
      <alignment horizontal="left" vertical="center"/>
    </xf>
    <xf numFmtId="0" fontId="11" fillId="0" borderId="14" xfId="5" applyFont="1" applyFill="1" applyBorder="1" applyAlignment="1">
      <alignment horizontal="left" vertical="center"/>
    </xf>
    <xf numFmtId="0" fontId="11" fillId="0" borderId="15" xfId="5" applyFont="1" applyFill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170" fontId="25" fillId="0" borderId="71" xfId="0" applyNumberFormat="1" applyFont="1" applyBorder="1" applyAlignment="1">
      <alignment horizontal="center" vertical="center" wrapText="1"/>
    </xf>
    <xf numFmtId="170" fontId="25" fillId="0" borderId="61" xfId="0" applyNumberFormat="1" applyFont="1" applyBorder="1" applyAlignment="1">
      <alignment horizontal="center" vertical="center" wrapText="1"/>
    </xf>
    <xf numFmtId="170" fontId="25" fillId="0" borderId="72" xfId="0" applyNumberFormat="1" applyFont="1" applyBorder="1" applyAlignment="1">
      <alignment horizontal="center" vertical="center" wrapText="1"/>
    </xf>
    <xf numFmtId="0" fontId="26" fillId="8" borderId="73" xfId="0" applyFont="1" applyFill="1" applyBorder="1" applyAlignment="1">
      <alignment horizontal="center" vertical="center"/>
    </xf>
    <xf numFmtId="0" fontId="26" fillId="8" borderId="74" xfId="0" applyFont="1" applyFill="1" applyBorder="1" applyAlignment="1">
      <alignment horizontal="center" vertical="center"/>
    </xf>
    <xf numFmtId="0" fontId="26" fillId="8" borderId="75" xfId="0" applyFont="1" applyFill="1" applyBorder="1" applyAlignment="1">
      <alignment horizontal="center" vertical="center"/>
    </xf>
    <xf numFmtId="165" fontId="9" fillId="3" borderId="81" xfId="3" applyNumberFormat="1" applyFont="1" applyFill="1" applyBorder="1" applyAlignment="1">
      <alignment horizontal="center" vertical="center" wrapText="1"/>
    </xf>
    <xf numFmtId="165" fontId="9" fillId="3" borderId="5" xfId="3" applyNumberFormat="1" applyFont="1" applyFill="1" applyBorder="1" applyAlignment="1">
      <alignment horizontal="center" vertical="center" wrapText="1"/>
    </xf>
    <xf numFmtId="0" fontId="11" fillId="0" borderId="36" xfId="5" applyFont="1" applyFill="1" applyBorder="1" applyAlignment="1">
      <alignment horizontal="left" vertical="center" wrapText="1"/>
    </xf>
    <xf numFmtId="0" fontId="11" fillId="0" borderId="38" xfId="5" applyFont="1" applyFill="1" applyBorder="1" applyAlignment="1">
      <alignment horizontal="left" vertical="center" wrapText="1"/>
    </xf>
    <xf numFmtId="0" fontId="11" fillId="0" borderId="25" xfId="14" applyFont="1" applyFill="1" applyBorder="1" applyAlignment="1">
      <alignment vertical="center" wrapText="1"/>
    </xf>
    <xf numFmtId="0" fontId="11" fillId="0" borderId="27" xfId="14" applyFont="1" applyFill="1" applyBorder="1" applyAlignment="1">
      <alignment vertical="center" wrapText="1"/>
    </xf>
    <xf numFmtId="0" fontId="11" fillId="0" borderId="25" xfId="9" applyFont="1" applyFill="1" applyBorder="1" applyAlignment="1">
      <alignment horizontal="left" vertical="center"/>
    </xf>
    <xf numFmtId="0" fontId="11" fillId="0" borderId="27" xfId="9" applyFont="1" applyFill="1" applyBorder="1" applyAlignment="1">
      <alignment horizontal="left" vertical="center"/>
    </xf>
    <xf numFmtId="0" fontId="11" fillId="0" borderId="25" xfId="9" applyFont="1" applyFill="1" applyBorder="1" applyAlignment="1">
      <alignment horizontal="justify" vertical="center"/>
    </xf>
    <xf numFmtId="0" fontId="11" fillId="0" borderId="27" xfId="9" applyFont="1" applyFill="1" applyBorder="1" applyAlignment="1">
      <alignment horizontal="justify" vertical="center"/>
    </xf>
    <xf numFmtId="0" fontId="11" fillId="0" borderId="25" xfId="5" applyFont="1" applyFill="1" applyBorder="1" applyAlignment="1">
      <alignment vertical="center" wrapText="1"/>
    </xf>
    <xf numFmtId="0" fontId="11" fillId="0" borderId="27" xfId="5" applyFont="1" applyFill="1" applyBorder="1" applyAlignment="1">
      <alignment vertical="center" wrapText="1"/>
    </xf>
    <xf numFmtId="0" fontId="9" fillId="2" borderId="6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165" fontId="9" fillId="3" borderId="83" xfId="3" applyNumberFormat="1" applyFont="1" applyFill="1" applyBorder="1" applyAlignment="1">
      <alignment horizontal="center" vertical="center" wrapText="1"/>
    </xf>
    <xf numFmtId="0" fontId="9" fillId="3" borderId="78" xfId="1" applyFont="1" applyFill="1" applyBorder="1" applyAlignment="1">
      <alignment horizontal="center" vertical="center" wrapText="1"/>
    </xf>
    <xf numFmtId="0" fontId="9" fillId="3" borderId="79" xfId="1" applyFont="1" applyFill="1" applyBorder="1" applyAlignment="1">
      <alignment horizontal="center" vertical="center" wrapText="1"/>
    </xf>
    <xf numFmtId="0" fontId="9" fillId="3" borderId="80" xfId="1" applyFont="1" applyFill="1" applyBorder="1" applyAlignment="1">
      <alignment horizontal="center" vertical="center" wrapText="1"/>
    </xf>
    <xf numFmtId="0" fontId="9" fillId="3" borderId="81" xfId="1" applyFont="1" applyFill="1" applyBorder="1" applyAlignment="1">
      <alignment horizontal="center" vertical="center" wrapText="1"/>
    </xf>
    <xf numFmtId="0" fontId="9" fillId="3" borderId="82" xfId="2" applyNumberFormat="1" applyFont="1" applyFill="1" applyBorder="1" applyAlignment="1">
      <alignment horizontal="center" vertical="center" wrapText="1"/>
    </xf>
    <xf numFmtId="0" fontId="9" fillId="3" borderId="81" xfId="2" applyNumberFormat="1" applyFont="1" applyFill="1" applyBorder="1" applyAlignment="1">
      <alignment horizontal="center" vertical="center" wrapText="1"/>
    </xf>
    <xf numFmtId="0" fontId="13" fillId="0" borderId="43" xfId="1" quotePrefix="1" applyFont="1" applyFill="1" applyBorder="1" applyAlignment="1">
      <alignment horizontal="center" vertical="center" wrapText="1"/>
    </xf>
    <xf numFmtId="0" fontId="13" fillId="0" borderId="45" xfId="1" quotePrefix="1" applyFont="1" applyFill="1" applyBorder="1" applyAlignment="1">
      <alignment horizontal="center" vertical="center" wrapText="1"/>
    </xf>
    <xf numFmtId="165" fontId="9" fillId="3" borderId="87" xfId="3" applyNumberFormat="1" applyFont="1" applyFill="1" applyBorder="1" applyAlignment="1">
      <alignment horizontal="center" vertical="center" wrapText="1"/>
    </xf>
    <xf numFmtId="165" fontId="9" fillId="3" borderId="86" xfId="3" applyNumberFormat="1" applyFont="1" applyFill="1" applyBorder="1" applyAlignment="1">
      <alignment horizontal="center" vertical="center" wrapText="1"/>
    </xf>
    <xf numFmtId="165" fontId="11" fillId="2" borderId="0" xfId="3" applyNumberFormat="1" applyFont="1" applyFill="1" applyAlignment="1">
      <alignment horizontal="center" vertical="center"/>
    </xf>
    <xf numFmtId="165" fontId="30" fillId="2" borderId="0" xfId="3" applyNumberFormat="1" applyFont="1" applyFill="1" applyAlignment="1">
      <alignment horizontal="center" vertical="center"/>
    </xf>
    <xf numFmtId="0" fontId="11" fillId="0" borderId="39" xfId="5" applyFont="1" applyFill="1" applyBorder="1" applyAlignment="1">
      <alignment horizontal="left" vertical="center" wrapText="1"/>
    </xf>
    <xf numFmtId="0" fontId="11" fillId="0" borderId="22" xfId="5" applyFont="1" applyFill="1" applyBorder="1" applyAlignment="1">
      <alignment horizontal="left" vertical="center" wrapText="1"/>
    </xf>
    <xf numFmtId="165" fontId="28" fillId="10" borderId="4" xfId="3" applyNumberFormat="1" applyFont="1" applyFill="1" applyBorder="1" applyAlignment="1">
      <alignment horizontal="center" vertical="center" wrapText="1"/>
    </xf>
    <xf numFmtId="165" fontId="28" fillId="10" borderId="9" xfId="3" applyNumberFormat="1" applyFont="1" applyFill="1" applyBorder="1" applyAlignment="1">
      <alignment horizontal="center" vertical="center" wrapText="1"/>
    </xf>
    <xf numFmtId="0" fontId="8" fillId="2" borderId="0" xfId="1" applyNumberFormat="1" applyFont="1" applyFill="1" applyAlignment="1">
      <alignment horizontal="center" vertical="center"/>
    </xf>
    <xf numFmtId="0" fontId="9" fillId="2" borderId="13" xfId="1" applyFont="1" applyFill="1" applyBorder="1" applyAlignment="1">
      <alignment horizontal="center" vertical="center" wrapText="1"/>
    </xf>
    <xf numFmtId="0" fontId="11" fillId="0" borderId="25" xfId="9" applyFont="1" applyFill="1" applyBorder="1" applyAlignment="1">
      <alignment horizontal="left" vertical="center" wrapText="1"/>
    </xf>
    <xf numFmtId="0" fontId="11" fillId="0" borderId="27" xfId="9" applyFont="1" applyFill="1" applyBorder="1" applyAlignment="1">
      <alignment horizontal="left" vertical="center" wrapText="1"/>
    </xf>
    <xf numFmtId="0" fontId="28" fillId="10" borderId="1" xfId="1" applyFont="1" applyFill="1" applyBorder="1" applyAlignment="1">
      <alignment horizontal="center" vertical="center" wrapText="1"/>
    </xf>
    <xf numFmtId="0" fontId="28" fillId="10" borderId="6" xfId="1" applyFont="1" applyFill="1" applyBorder="1" applyAlignment="1">
      <alignment horizontal="center" vertical="center" wrapText="1"/>
    </xf>
    <xf numFmtId="0" fontId="28" fillId="10" borderId="4" xfId="1" applyFont="1" applyFill="1" applyBorder="1" applyAlignment="1">
      <alignment horizontal="center" vertical="center" wrapText="1"/>
    </xf>
    <xf numFmtId="0" fontId="28" fillId="10" borderId="3" xfId="1" applyFont="1" applyFill="1" applyBorder="1" applyAlignment="1">
      <alignment horizontal="center" vertical="center" wrapText="1"/>
    </xf>
    <xf numFmtId="0" fontId="28" fillId="10" borderId="9" xfId="1" applyFont="1" applyFill="1" applyBorder="1" applyAlignment="1">
      <alignment horizontal="center" vertical="center" wrapText="1"/>
    </xf>
    <xf numFmtId="0" fontId="28" fillId="10" borderId="8" xfId="1" applyFont="1" applyFill="1" applyBorder="1" applyAlignment="1">
      <alignment horizontal="center" vertical="center" wrapText="1"/>
    </xf>
    <xf numFmtId="0" fontId="28" fillId="10" borderId="5" xfId="2" applyNumberFormat="1" applyFont="1" applyFill="1" applyBorder="1" applyAlignment="1">
      <alignment horizontal="center" vertical="center" wrapText="1"/>
    </xf>
    <xf numFmtId="0" fontId="28" fillId="10" borderId="10" xfId="2" applyNumberFormat="1" applyFont="1" applyFill="1" applyBorder="1" applyAlignment="1">
      <alignment horizontal="center" vertical="center" wrapText="1"/>
    </xf>
    <xf numFmtId="165" fontId="28" fillId="10" borderId="59" xfId="3" applyNumberFormat="1" applyFont="1" applyFill="1" applyBorder="1" applyAlignment="1">
      <alignment horizontal="center" vertical="center" wrapText="1"/>
    </xf>
    <xf numFmtId="165" fontId="28" fillId="10" borderId="12" xfId="3" applyNumberFormat="1" applyFont="1" applyFill="1" applyBorder="1" applyAlignment="1">
      <alignment horizontal="center" vertical="center" wrapText="1"/>
    </xf>
    <xf numFmtId="165" fontId="11" fillId="0" borderId="0" xfId="3" applyNumberFormat="1" applyFont="1" applyFill="1" applyBorder="1" applyAlignment="1">
      <alignment horizontal="center" vertical="center"/>
    </xf>
    <xf numFmtId="0" fontId="34" fillId="10" borderId="1" xfId="1" applyFont="1" applyFill="1" applyBorder="1" applyAlignment="1">
      <alignment horizontal="center" vertical="center" wrapText="1"/>
    </xf>
    <xf numFmtId="0" fontId="34" fillId="10" borderId="6" xfId="1" applyFont="1" applyFill="1" applyBorder="1" applyAlignment="1">
      <alignment horizontal="center" vertical="center" wrapText="1"/>
    </xf>
    <xf numFmtId="0" fontId="34" fillId="10" borderId="4" xfId="1" applyFont="1" applyFill="1" applyBorder="1" applyAlignment="1">
      <alignment horizontal="center" vertical="center" wrapText="1"/>
    </xf>
    <xf numFmtId="0" fontId="34" fillId="10" borderId="3" xfId="1" applyFont="1" applyFill="1" applyBorder="1" applyAlignment="1">
      <alignment horizontal="center" vertical="center" wrapText="1"/>
    </xf>
    <xf numFmtId="0" fontId="34" fillId="10" borderId="9" xfId="1" applyFont="1" applyFill="1" applyBorder="1" applyAlignment="1">
      <alignment horizontal="center" vertical="center" wrapText="1"/>
    </xf>
    <xf numFmtId="0" fontId="34" fillId="10" borderId="8" xfId="1" applyFont="1" applyFill="1" applyBorder="1" applyAlignment="1">
      <alignment horizontal="center" vertical="center" wrapText="1"/>
    </xf>
    <xf numFmtId="0" fontId="34" fillId="10" borderId="5" xfId="2" applyNumberFormat="1" applyFont="1" applyFill="1" applyBorder="1" applyAlignment="1">
      <alignment horizontal="center" vertical="center" wrapText="1"/>
    </xf>
    <xf numFmtId="0" fontId="34" fillId="10" borderId="10" xfId="2" applyNumberFormat="1" applyFont="1" applyFill="1" applyBorder="1" applyAlignment="1">
      <alignment horizontal="center" vertical="center" wrapText="1"/>
    </xf>
    <xf numFmtId="165" fontId="34" fillId="10" borderId="4" xfId="3" applyNumberFormat="1" applyFont="1" applyFill="1" applyBorder="1" applyAlignment="1">
      <alignment horizontal="center" vertical="center" wrapText="1"/>
    </xf>
    <xf numFmtId="165" fontId="34" fillId="10" borderId="9" xfId="3" applyNumberFormat="1" applyFont="1" applyFill="1" applyBorder="1" applyAlignment="1">
      <alignment horizontal="center" vertical="center" wrapText="1"/>
    </xf>
    <xf numFmtId="165" fontId="34" fillId="10" borderId="59" xfId="3" applyNumberFormat="1" applyFont="1" applyFill="1" applyBorder="1" applyAlignment="1">
      <alignment horizontal="center" vertical="center" wrapText="1"/>
    </xf>
    <xf numFmtId="165" fontId="34" fillId="10" borderId="12" xfId="3" applyNumberFormat="1" applyFont="1" applyFill="1" applyBorder="1" applyAlignment="1">
      <alignment horizontal="center" vertical="center" wrapText="1"/>
    </xf>
    <xf numFmtId="0" fontId="46" fillId="2" borderId="13" xfId="1" applyFont="1" applyFill="1" applyBorder="1" applyAlignment="1">
      <alignment horizontal="center" vertical="center" wrapText="1"/>
    </xf>
    <xf numFmtId="0" fontId="46" fillId="2" borderId="14" xfId="1" applyFont="1" applyFill="1" applyBorder="1" applyAlignment="1">
      <alignment horizontal="center" vertical="center" wrapText="1"/>
    </xf>
    <xf numFmtId="0" fontId="46" fillId="2" borderId="15" xfId="1" applyFont="1" applyFill="1" applyBorder="1" applyAlignment="1">
      <alignment horizontal="center" vertical="center" wrapText="1"/>
    </xf>
    <xf numFmtId="0" fontId="11" fillId="14" borderId="25" xfId="5" applyFont="1" applyFill="1" applyBorder="1" applyAlignment="1">
      <alignment horizontal="left" vertical="center" wrapText="1"/>
    </xf>
    <xf numFmtId="0" fontId="11" fillId="14" borderId="27" xfId="5" applyFont="1" applyFill="1" applyBorder="1" applyAlignment="1">
      <alignment horizontal="left" vertical="center" wrapText="1"/>
    </xf>
    <xf numFmtId="165" fontId="34" fillId="10" borderId="88" xfId="3" applyNumberFormat="1" applyFont="1" applyFill="1" applyBorder="1" applyAlignment="1">
      <alignment horizontal="center" vertical="center" wrapText="1"/>
    </xf>
    <xf numFmtId="165" fontId="34" fillId="10" borderId="89" xfId="3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7" fillId="13" borderId="90" xfId="0" applyFont="1" applyFill="1" applyBorder="1" applyAlignment="1">
      <alignment horizontal="center" vertical="center"/>
    </xf>
    <xf numFmtId="0" fontId="37" fillId="13" borderId="91" xfId="0" applyFont="1" applyFill="1" applyBorder="1" applyAlignment="1">
      <alignment horizontal="center" vertical="center"/>
    </xf>
    <xf numFmtId="0" fontId="37" fillId="13" borderId="87" xfId="0" applyFont="1" applyFill="1" applyBorder="1" applyAlignment="1">
      <alignment horizontal="center" vertical="center"/>
    </xf>
    <xf numFmtId="0" fontId="37" fillId="13" borderId="84" xfId="0" applyFont="1" applyFill="1" applyBorder="1" applyAlignment="1">
      <alignment horizontal="center" vertical="center"/>
    </xf>
    <xf numFmtId="0" fontId="37" fillId="13" borderId="86" xfId="0" applyFont="1" applyFill="1" applyBorder="1" applyAlignment="1">
      <alignment horizontal="center" vertical="center"/>
    </xf>
    <xf numFmtId="0" fontId="37" fillId="13" borderId="66" xfId="0" applyFont="1" applyFill="1" applyBorder="1" applyAlignment="1">
      <alignment horizontal="center" vertical="center"/>
    </xf>
    <xf numFmtId="0" fontId="37" fillId="0" borderId="91" xfId="0" applyFont="1" applyBorder="1" applyAlignment="1">
      <alignment horizontal="center" vertical="center"/>
    </xf>
    <xf numFmtId="0" fontId="37" fillId="0" borderId="84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/>
    </xf>
    <xf numFmtId="0" fontId="11" fillId="15" borderId="25" xfId="9" applyFont="1" applyFill="1" applyBorder="1" applyAlignment="1">
      <alignment horizontal="left" vertical="center"/>
    </xf>
    <xf numFmtId="0" fontId="11" fillId="15" borderId="27" xfId="9" applyFont="1" applyFill="1" applyBorder="1" applyAlignment="1">
      <alignment horizontal="left" vertical="center"/>
    </xf>
    <xf numFmtId="0" fontId="11" fillId="15" borderId="25" xfId="9" applyFont="1" applyFill="1" applyBorder="1" applyAlignment="1">
      <alignment horizontal="justify" vertical="center"/>
    </xf>
    <xf numFmtId="0" fontId="11" fillId="15" borderId="27" xfId="9" applyFont="1" applyFill="1" applyBorder="1" applyAlignment="1">
      <alignment horizontal="justify" vertical="center"/>
    </xf>
    <xf numFmtId="0" fontId="11" fillId="15" borderId="39" xfId="5" applyFont="1" applyFill="1" applyBorder="1" applyAlignment="1">
      <alignment horizontal="left" vertical="center" wrapText="1"/>
    </xf>
    <xf numFmtId="0" fontId="11" fillId="15" borderId="22" xfId="5" applyFont="1" applyFill="1" applyBorder="1" applyAlignment="1">
      <alignment horizontal="left" vertical="center" wrapText="1"/>
    </xf>
    <xf numFmtId="0" fontId="11" fillId="12" borderId="25" xfId="1" applyFont="1" applyFill="1" applyBorder="1" applyAlignment="1">
      <alignment horizontal="left" vertical="center" wrapText="1"/>
    </xf>
    <xf numFmtId="0" fontId="11" fillId="12" borderId="27" xfId="1" applyFont="1" applyFill="1" applyBorder="1" applyAlignment="1">
      <alignment horizontal="left" vertical="center" wrapText="1"/>
    </xf>
    <xf numFmtId="0" fontId="11" fillId="12" borderId="25" xfId="1" quotePrefix="1" applyFont="1" applyFill="1" applyBorder="1" applyAlignment="1">
      <alignment horizontal="left" vertical="center" wrapText="1"/>
    </xf>
    <xf numFmtId="0" fontId="11" fillId="12" borderId="27" xfId="1" quotePrefix="1" applyFont="1" applyFill="1" applyBorder="1" applyAlignment="1">
      <alignment horizontal="left" vertical="center" wrapText="1"/>
    </xf>
    <xf numFmtId="0" fontId="11" fillId="15" borderId="25" xfId="1" applyFont="1" applyFill="1" applyBorder="1" applyAlignment="1">
      <alignment horizontal="left" vertical="center" wrapText="1"/>
    </xf>
    <xf numFmtId="0" fontId="11" fillId="15" borderId="27" xfId="1" applyFont="1" applyFill="1" applyBorder="1" applyAlignment="1">
      <alignment horizontal="left" vertical="center" wrapText="1"/>
    </xf>
    <xf numFmtId="0" fontId="11" fillId="15" borderId="25" xfId="14" applyFont="1" applyFill="1" applyBorder="1" applyAlignment="1">
      <alignment vertical="center" wrapText="1"/>
    </xf>
    <xf numFmtId="0" fontId="11" fillId="15" borderId="27" xfId="14" applyFont="1" applyFill="1" applyBorder="1" applyAlignment="1">
      <alignment vertical="center" wrapText="1"/>
    </xf>
    <xf numFmtId="0" fontId="11" fillId="15" borderId="25" xfId="5" applyFont="1" applyFill="1" applyBorder="1" applyAlignment="1">
      <alignment horizontal="left" vertical="center" wrapText="1"/>
    </xf>
    <xf numFmtId="0" fontId="11" fillId="15" borderId="27" xfId="5" applyFont="1" applyFill="1" applyBorder="1" applyAlignment="1">
      <alignment horizontal="left" vertical="center" wrapText="1"/>
    </xf>
    <xf numFmtId="0" fontId="11" fillId="12" borderId="25" xfId="5" applyFont="1" applyFill="1" applyBorder="1" applyAlignment="1">
      <alignment horizontal="left" vertical="center" wrapText="1"/>
    </xf>
    <xf numFmtId="0" fontId="11" fillId="12" borderId="27" xfId="5" applyFont="1" applyFill="1" applyBorder="1" applyAlignment="1">
      <alignment horizontal="left" vertical="center" wrapText="1"/>
    </xf>
    <xf numFmtId="165" fontId="11" fillId="0" borderId="25" xfId="3" applyNumberFormat="1" applyFont="1" applyFill="1" applyBorder="1" applyAlignment="1">
      <alignment horizontal="right" vertical="center"/>
    </xf>
    <xf numFmtId="165" fontId="11" fillId="0" borderId="30" xfId="3" applyNumberFormat="1" applyFont="1" applyFill="1" applyBorder="1" applyAlignment="1">
      <alignment horizontal="right" vertical="center"/>
    </xf>
  </cellXfs>
  <cellStyles count="17">
    <cellStyle name="Comma [0]" xfId="15" builtinId="6"/>
    <cellStyle name="Comma [0] 10 2" xfId="6"/>
    <cellStyle name="Comma [0] 2" xfId="2"/>
    <cellStyle name="Comma [0] 2 2 2" xfId="10"/>
    <cellStyle name="Comma [0] 3" xfId="16"/>
    <cellStyle name="Comma [0] 6" xfId="4"/>
    <cellStyle name="Comma 2 2" xfId="7"/>
    <cellStyle name="Comma 2 2 2 2" xfId="11"/>
    <cellStyle name="Comma 2 3" xfId="3"/>
    <cellStyle name="Comma 5" xfId="12"/>
    <cellStyle name="Normal" xfId="0" builtinId="0"/>
    <cellStyle name="Normal 2 2" xfId="1"/>
    <cellStyle name="Normal 2 3" xfId="9"/>
    <cellStyle name="Normal 3 2" xfId="14"/>
    <cellStyle name="Normal 30 2" xfId="13"/>
    <cellStyle name="Normal 6" xfId="5"/>
    <cellStyle name="Percent 4" xfId="8"/>
  </cellStyles>
  <dxfs count="0"/>
  <tableStyles count="0" defaultTableStyle="TableStyleMedium2" defaultPivotStyle="PivotStyleLight16"/>
  <colors>
    <mruColors>
      <color rgb="FF4462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571500</xdr:colOff>
      <xdr:row>238</xdr:row>
      <xdr:rowOff>5443</xdr:rowOff>
    </xdr:from>
    <xdr:to>
      <xdr:col>10</xdr:col>
      <xdr:colOff>908958</xdr:colOff>
      <xdr:row>238</xdr:row>
      <xdr:rowOff>5443</xdr:rowOff>
    </xdr:to>
    <xdr:cxnSp macro="">
      <xdr:nvCxnSpPr>
        <xdr:cNvPr id="3" name="Straight Connector 2"/>
        <xdr:cNvCxnSpPr/>
      </xdr:nvCxnSpPr>
      <xdr:spPr>
        <a:xfrm>
          <a:off x="10031186" y="57884786"/>
          <a:ext cx="1643743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571500</xdr:colOff>
      <xdr:row>53</xdr:row>
      <xdr:rowOff>5443</xdr:rowOff>
    </xdr:from>
    <xdr:to>
      <xdr:col>10</xdr:col>
      <xdr:colOff>908958</xdr:colOff>
      <xdr:row>53</xdr:row>
      <xdr:rowOff>5443</xdr:rowOff>
    </xdr:to>
    <xdr:cxnSp macro="">
      <xdr:nvCxnSpPr>
        <xdr:cNvPr id="2" name="Straight Connector 1"/>
        <xdr:cNvCxnSpPr/>
      </xdr:nvCxnSpPr>
      <xdr:spPr>
        <a:xfrm>
          <a:off x="10029825" y="57879343"/>
          <a:ext cx="1642383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2:S262"/>
  <sheetViews>
    <sheetView view="pageBreakPreview" topLeftCell="A117" zoomScale="70" zoomScaleNormal="85" zoomScaleSheetLayoutView="70" workbookViewId="0">
      <selection activeCell="G135" sqref="G135"/>
    </sheetView>
  </sheetViews>
  <sheetFormatPr defaultRowHeight="12.75" x14ac:dyDescent="0.25"/>
  <cols>
    <col min="1" max="1" width="9" style="53" customWidth="1"/>
    <col min="2" max="2" width="0.5703125" style="13" customWidth="1"/>
    <col min="3" max="3" width="3.28515625" style="427" customWidth="1"/>
    <col min="4" max="4" width="4.140625" style="428" customWidth="1"/>
    <col min="5" max="5" width="3.5703125" style="428" customWidth="1"/>
    <col min="6" max="6" width="2.7109375" style="428" customWidth="1"/>
    <col min="7" max="7" width="56.7109375" style="429" customWidth="1"/>
    <col min="8" max="8" width="52" style="430" customWidth="1"/>
    <col min="9" max="9" width="9.85546875" style="431" customWidth="1"/>
    <col min="10" max="10" width="21.42578125" style="432" customWidth="1"/>
    <col min="11" max="11" width="22.140625" style="432" customWidth="1"/>
    <col min="12" max="12" width="20.140625" style="432" customWidth="1"/>
    <col min="13" max="13" width="22.140625" style="432" hidden="1" customWidth="1"/>
    <col min="14" max="14" width="0.5703125" style="291" customWidth="1"/>
    <col min="15" max="15" width="17.5703125" style="431" customWidth="1"/>
    <col min="16" max="16" width="4.85546875" style="500" customWidth="1"/>
    <col min="17" max="19" width="14.140625" style="53" customWidth="1"/>
    <col min="20" max="28" width="10.5703125" style="53" customWidth="1"/>
    <col min="29" max="234" width="9.140625" style="53"/>
    <col min="235" max="235" width="1.7109375" style="53" customWidth="1"/>
    <col min="236" max="237" width="4.7109375" style="53" customWidth="1"/>
    <col min="238" max="238" width="54.140625" style="53" customWidth="1"/>
    <col min="239" max="239" width="52" style="53" customWidth="1"/>
    <col min="240" max="240" width="5.28515625" style="53" customWidth="1"/>
    <col min="241" max="241" width="5.85546875" style="53" bestFit="1" customWidth="1"/>
    <col min="242" max="242" width="16.42578125" style="53" customWidth="1"/>
    <col min="243" max="243" width="4.5703125" style="53" customWidth="1"/>
    <col min="244" max="244" width="14.140625" style="53" customWidth="1"/>
    <col min="245" max="245" width="27.140625" style="53" customWidth="1"/>
    <col min="246" max="246" width="16.28515625" style="53" customWidth="1"/>
    <col min="247" max="247" width="13.85546875" style="53" customWidth="1"/>
    <col min="248" max="490" width="9.140625" style="53"/>
    <col min="491" max="491" width="1.7109375" style="53" customWidth="1"/>
    <col min="492" max="493" width="4.7109375" style="53" customWidth="1"/>
    <col min="494" max="494" width="54.140625" style="53" customWidth="1"/>
    <col min="495" max="495" width="52" style="53" customWidth="1"/>
    <col min="496" max="496" width="5.28515625" style="53" customWidth="1"/>
    <col min="497" max="497" width="5.85546875" style="53" bestFit="1" customWidth="1"/>
    <col min="498" max="498" width="16.42578125" style="53" customWidth="1"/>
    <col min="499" max="499" width="4.5703125" style="53" customWidth="1"/>
    <col min="500" max="500" width="14.140625" style="53" customWidth="1"/>
    <col min="501" max="501" width="27.140625" style="53" customWidth="1"/>
    <col min="502" max="502" width="16.28515625" style="53" customWidth="1"/>
    <col min="503" max="503" width="13.85546875" style="53" customWidth="1"/>
    <col min="504" max="746" width="9.140625" style="53"/>
    <col min="747" max="747" width="1.7109375" style="53" customWidth="1"/>
    <col min="748" max="749" width="4.7109375" style="53" customWidth="1"/>
    <col min="750" max="750" width="54.140625" style="53" customWidth="1"/>
    <col min="751" max="751" width="52" style="53" customWidth="1"/>
    <col min="752" max="752" width="5.28515625" style="53" customWidth="1"/>
    <col min="753" max="753" width="5.85546875" style="53" bestFit="1" customWidth="1"/>
    <col min="754" max="754" width="16.42578125" style="53" customWidth="1"/>
    <col min="755" max="755" width="4.5703125" style="53" customWidth="1"/>
    <col min="756" max="756" width="14.140625" style="53" customWidth="1"/>
    <col min="757" max="757" width="27.140625" style="53" customWidth="1"/>
    <col min="758" max="758" width="16.28515625" style="53" customWidth="1"/>
    <col min="759" max="759" width="13.85546875" style="53" customWidth="1"/>
    <col min="760" max="1002" width="9.140625" style="53"/>
    <col min="1003" max="1003" width="1.7109375" style="53" customWidth="1"/>
    <col min="1004" max="1005" width="4.7109375" style="53" customWidth="1"/>
    <col min="1006" max="1006" width="54.140625" style="53" customWidth="1"/>
    <col min="1007" max="1007" width="52" style="53" customWidth="1"/>
    <col min="1008" max="1008" width="5.28515625" style="53" customWidth="1"/>
    <col min="1009" max="1009" width="5.85546875" style="53" bestFit="1" customWidth="1"/>
    <col min="1010" max="1010" width="16.42578125" style="53" customWidth="1"/>
    <col min="1011" max="1011" width="4.5703125" style="53" customWidth="1"/>
    <col min="1012" max="1012" width="14.140625" style="53" customWidth="1"/>
    <col min="1013" max="1013" width="27.140625" style="53" customWidth="1"/>
    <col min="1014" max="1014" width="16.28515625" style="53" customWidth="1"/>
    <col min="1015" max="1015" width="13.85546875" style="53" customWidth="1"/>
    <col min="1016" max="1258" width="9.140625" style="53"/>
    <col min="1259" max="1259" width="1.7109375" style="53" customWidth="1"/>
    <col min="1260" max="1261" width="4.7109375" style="53" customWidth="1"/>
    <col min="1262" max="1262" width="54.140625" style="53" customWidth="1"/>
    <col min="1263" max="1263" width="52" style="53" customWidth="1"/>
    <col min="1264" max="1264" width="5.28515625" style="53" customWidth="1"/>
    <col min="1265" max="1265" width="5.85546875" style="53" bestFit="1" customWidth="1"/>
    <col min="1266" max="1266" width="16.42578125" style="53" customWidth="1"/>
    <col min="1267" max="1267" width="4.5703125" style="53" customWidth="1"/>
    <col min="1268" max="1268" width="14.140625" style="53" customWidth="1"/>
    <col min="1269" max="1269" width="27.140625" style="53" customWidth="1"/>
    <col min="1270" max="1270" width="16.28515625" style="53" customWidth="1"/>
    <col min="1271" max="1271" width="13.85546875" style="53" customWidth="1"/>
    <col min="1272" max="1514" width="9.140625" style="53"/>
    <col min="1515" max="1515" width="1.7109375" style="53" customWidth="1"/>
    <col min="1516" max="1517" width="4.7109375" style="53" customWidth="1"/>
    <col min="1518" max="1518" width="54.140625" style="53" customWidth="1"/>
    <col min="1519" max="1519" width="52" style="53" customWidth="1"/>
    <col min="1520" max="1520" width="5.28515625" style="53" customWidth="1"/>
    <col min="1521" max="1521" width="5.85546875" style="53" bestFit="1" customWidth="1"/>
    <col min="1522" max="1522" width="16.42578125" style="53" customWidth="1"/>
    <col min="1523" max="1523" width="4.5703125" style="53" customWidth="1"/>
    <col min="1524" max="1524" width="14.140625" style="53" customWidth="1"/>
    <col min="1525" max="1525" width="27.140625" style="53" customWidth="1"/>
    <col min="1526" max="1526" width="16.28515625" style="53" customWidth="1"/>
    <col min="1527" max="1527" width="13.85546875" style="53" customWidth="1"/>
    <col min="1528" max="1770" width="9.140625" style="53"/>
    <col min="1771" max="1771" width="1.7109375" style="53" customWidth="1"/>
    <col min="1772" max="1773" width="4.7109375" style="53" customWidth="1"/>
    <col min="1774" max="1774" width="54.140625" style="53" customWidth="1"/>
    <col min="1775" max="1775" width="52" style="53" customWidth="1"/>
    <col min="1776" max="1776" width="5.28515625" style="53" customWidth="1"/>
    <col min="1777" max="1777" width="5.85546875" style="53" bestFit="1" customWidth="1"/>
    <col min="1778" max="1778" width="16.42578125" style="53" customWidth="1"/>
    <col min="1779" max="1779" width="4.5703125" style="53" customWidth="1"/>
    <col min="1780" max="1780" width="14.140625" style="53" customWidth="1"/>
    <col min="1781" max="1781" width="27.140625" style="53" customWidth="1"/>
    <col min="1782" max="1782" width="16.28515625" style="53" customWidth="1"/>
    <col min="1783" max="1783" width="13.85546875" style="53" customWidth="1"/>
    <col min="1784" max="2026" width="9.140625" style="53"/>
    <col min="2027" max="2027" width="1.7109375" style="53" customWidth="1"/>
    <col min="2028" max="2029" width="4.7109375" style="53" customWidth="1"/>
    <col min="2030" max="2030" width="54.140625" style="53" customWidth="1"/>
    <col min="2031" max="2031" width="52" style="53" customWidth="1"/>
    <col min="2032" max="2032" width="5.28515625" style="53" customWidth="1"/>
    <col min="2033" max="2033" width="5.85546875" style="53" bestFit="1" customWidth="1"/>
    <col min="2034" max="2034" width="16.42578125" style="53" customWidth="1"/>
    <col min="2035" max="2035" width="4.5703125" style="53" customWidth="1"/>
    <col min="2036" max="2036" width="14.140625" style="53" customWidth="1"/>
    <col min="2037" max="2037" width="27.140625" style="53" customWidth="1"/>
    <col min="2038" max="2038" width="16.28515625" style="53" customWidth="1"/>
    <col min="2039" max="2039" width="13.85546875" style="53" customWidth="1"/>
    <col min="2040" max="2282" width="9.140625" style="53"/>
    <col min="2283" max="2283" width="1.7109375" style="53" customWidth="1"/>
    <col min="2284" max="2285" width="4.7109375" style="53" customWidth="1"/>
    <col min="2286" max="2286" width="54.140625" style="53" customWidth="1"/>
    <col min="2287" max="2287" width="52" style="53" customWidth="1"/>
    <col min="2288" max="2288" width="5.28515625" style="53" customWidth="1"/>
    <col min="2289" max="2289" width="5.85546875" style="53" bestFit="1" customWidth="1"/>
    <col min="2290" max="2290" width="16.42578125" style="53" customWidth="1"/>
    <col min="2291" max="2291" width="4.5703125" style="53" customWidth="1"/>
    <col min="2292" max="2292" width="14.140625" style="53" customWidth="1"/>
    <col min="2293" max="2293" width="27.140625" style="53" customWidth="1"/>
    <col min="2294" max="2294" width="16.28515625" style="53" customWidth="1"/>
    <col min="2295" max="2295" width="13.85546875" style="53" customWidth="1"/>
    <col min="2296" max="2538" width="9.140625" style="53"/>
    <col min="2539" max="2539" width="1.7109375" style="53" customWidth="1"/>
    <col min="2540" max="2541" width="4.7109375" style="53" customWidth="1"/>
    <col min="2542" max="2542" width="54.140625" style="53" customWidth="1"/>
    <col min="2543" max="2543" width="52" style="53" customWidth="1"/>
    <col min="2544" max="2544" width="5.28515625" style="53" customWidth="1"/>
    <col min="2545" max="2545" width="5.85546875" style="53" bestFit="1" customWidth="1"/>
    <col min="2546" max="2546" width="16.42578125" style="53" customWidth="1"/>
    <col min="2547" max="2547" width="4.5703125" style="53" customWidth="1"/>
    <col min="2548" max="2548" width="14.140625" style="53" customWidth="1"/>
    <col min="2549" max="2549" width="27.140625" style="53" customWidth="1"/>
    <col min="2550" max="2550" width="16.28515625" style="53" customWidth="1"/>
    <col min="2551" max="2551" width="13.85546875" style="53" customWidth="1"/>
    <col min="2552" max="2794" width="9.140625" style="53"/>
    <col min="2795" max="2795" width="1.7109375" style="53" customWidth="1"/>
    <col min="2796" max="2797" width="4.7109375" style="53" customWidth="1"/>
    <col min="2798" max="2798" width="54.140625" style="53" customWidth="1"/>
    <col min="2799" max="2799" width="52" style="53" customWidth="1"/>
    <col min="2800" max="2800" width="5.28515625" style="53" customWidth="1"/>
    <col min="2801" max="2801" width="5.85546875" style="53" bestFit="1" customWidth="1"/>
    <col min="2802" max="2802" width="16.42578125" style="53" customWidth="1"/>
    <col min="2803" max="2803" width="4.5703125" style="53" customWidth="1"/>
    <col min="2804" max="2804" width="14.140625" style="53" customWidth="1"/>
    <col min="2805" max="2805" width="27.140625" style="53" customWidth="1"/>
    <col min="2806" max="2806" width="16.28515625" style="53" customWidth="1"/>
    <col min="2807" max="2807" width="13.85546875" style="53" customWidth="1"/>
    <col min="2808" max="3050" width="9.140625" style="53"/>
    <col min="3051" max="3051" width="1.7109375" style="53" customWidth="1"/>
    <col min="3052" max="3053" width="4.7109375" style="53" customWidth="1"/>
    <col min="3054" max="3054" width="54.140625" style="53" customWidth="1"/>
    <col min="3055" max="3055" width="52" style="53" customWidth="1"/>
    <col min="3056" max="3056" width="5.28515625" style="53" customWidth="1"/>
    <col min="3057" max="3057" width="5.85546875" style="53" bestFit="1" customWidth="1"/>
    <col min="3058" max="3058" width="16.42578125" style="53" customWidth="1"/>
    <col min="3059" max="3059" width="4.5703125" style="53" customWidth="1"/>
    <col min="3060" max="3060" width="14.140625" style="53" customWidth="1"/>
    <col min="3061" max="3061" width="27.140625" style="53" customWidth="1"/>
    <col min="3062" max="3062" width="16.28515625" style="53" customWidth="1"/>
    <col min="3063" max="3063" width="13.85546875" style="53" customWidth="1"/>
    <col min="3064" max="3306" width="9.140625" style="53"/>
    <col min="3307" max="3307" width="1.7109375" style="53" customWidth="1"/>
    <col min="3308" max="3309" width="4.7109375" style="53" customWidth="1"/>
    <col min="3310" max="3310" width="54.140625" style="53" customWidth="1"/>
    <col min="3311" max="3311" width="52" style="53" customWidth="1"/>
    <col min="3312" max="3312" width="5.28515625" style="53" customWidth="1"/>
    <col min="3313" max="3313" width="5.85546875" style="53" bestFit="1" customWidth="1"/>
    <col min="3314" max="3314" width="16.42578125" style="53" customWidth="1"/>
    <col min="3315" max="3315" width="4.5703125" style="53" customWidth="1"/>
    <col min="3316" max="3316" width="14.140625" style="53" customWidth="1"/>
    <col min="3317" max="3317" width="27.140625" style="53" customWidth="1"/>
    <col min="3318" max="3318" width="16.28515625" style="53" customWidth="1"/>
    <col min="3319" max="3319" width="13.85546875" style="53" customWidth="1"/>
    <col min="3320" max="3562" width="9.140625" style="53"/>
    <col min="3563" max="3563" width="1.7109375" style="53" customWidth="1"/>
    <col min="3564" max="3565" width="4.7109375" style="53" customWidth="1"/>
    <col min="3566" max="3566" width="54.140625" style="53" customWidth="1"/>
    <col min="3567" max="3567" width="52" style="53" customWidth="1"/>
    <col min="3568" max="3568" width="5.28515625" style="53" customWidth="1"/>
    <col min="3569" max="3569" width="5.85546875" style="53" bestFit="1" customWidth="1"/>
    <col min="3570" max="3570" width="16.42578125" style="53" customWidth="1"/>
    <col min="3571" max="3571" width="4.5703125" style="53" customWidth="1"/>
    <col min="3572" max="3572" width="14.140625" style="53" customWidth="1"/>
    <col min="3573" max="3573" width="27.140625" style="53" customWidth="1"/>
    <col min="3574" max="3574" width="16.28515625" style="53" customWidth="1"/>
    <col min="3575" max="3575" width="13.85546875" style="53" customWidth="1"/>
    <col min="3576" max="3818" width="9.140625" style="53"/>
    <col min="3819" max="3819" width="1.7109375" style="53" customWidth="1"/>
    <col min="3820" max="3821" width="4.7109375" style="53" customWidth="1"/>
    <col min="3822" max="3822" width="54.140625" style="53" customWidth="1"/>
    <col min="3823" max="3823" width="52" style="53" customWidth="1"/>
    <col min="3824" max="3824" width="5.28515625" style="53" customWidth="1"/>
    <col min="3825" max="3825" width="5.85546875" style="53" bestFit="1" customWidth="1"/>
    <col min="3826" max="3826" width="16.42578125" style="53" customWidth="1"/>
    <col min="3827" max="3827" width="4.5703125" style="53" customWidth="1"/>
    <col min="3828" max="3828" width="14.140625" style="53" customWidth="1"/>
    <col min="3829" max="3829" width="27.140625" style="53" customWidth="1"/>
    <col min="3830" max="3830" width="16.28515625" style="53" customWidth="1"/>
    <col min="3831" max="3831" width="13.85546875" style="53" customWidth="1"/>
    <col min="3832" max="4074" width="9.140625" style="53"/>
    <col min="4075" max="4075" width="1.7109375" style="53" customWidth="1"/>
    <col min="4076" max="4077" width="4.7109375" style="53" customWidth="1"/>
    <col min="4078" max="4078" width="54.140625" style="53" customWidth="1"/>
    <col min="4079" max="4079" width="52" style="53" customWidth="1"/>
    <col min="4080" max="4080" width="5.28515625" style="53" customWidth="1"/>
    <col min="4081" max="4081" width="5.85546875" style="53" bestFit="1" customWidth="1"/>
    <col min="4082" max="4082" width="16.42578125" style="53" customWidth="1"/>
    <col min="4083" max="4083" width="4.5703125" style="53" customWidth="1"/>
    <col min="4084" max="4084" width="14.140625" style="53" customWidth="1"/>
    <col min="4085" max="4085" width="27.140625" style="53" customWidth="1"/>
    <col min="4086" max="4086" width="16.28515625" style="53" customWidth="1"/>
    <col min="4087" max="4087" width="13.85546875" style="53" customWidth="1"/>
    <col min="4088" max="4330" width="9.140625" style="53"/>
    <col min="4331" max="4331" width="1.7109375" style="53" customWidth="1"/>
    <col min="4332" max="4333" width="4.7109375" style="53" customWidth="1"/>
    <col min="4334" max="4334" width="54.140625" style="53" customWidth="1"/>
    <col min="4335" max="4335" width="52" style="53" customWidth="1"/>
    <col min="4336" max="4336" width="5.28515625" style="53" customWidth="1"/>
    <col min="4337" max="4337" width="5.85546875" style="53" bestFit="1" customWidth="1"/>
    <col min="4338" max="4338" width="16.42578125" style="53" customWidth="1"/>
    <col min="4339" max="4339" width="4.5703125" style="53" customWidth="1"/>
    <col min="4340" max="4340" width="14.140625" style="53" customWidth="1"/>
    <col min="4341" max="4341" width="27.140625" style="53" customWidth="1"/>
    <col min="4342" max="4342" width="16.28515625" style="53" customWidth="1"/>
    <col min="4343" max="4343" width="13.85546875" style="53" customWidth="1"/>
    <col min="4344" max="4586" width="9.140625" style="53"/>
    <col min="4587" max="4587" width="1.7109375" style="53" customWidth="1"/>
    <col min="4588" max="4589" width="4.7109375" style="53" customWidth="1"/>
    <col min="4590" max="4590" width="54.140625" style="53" customWidth="1"/>
    <col min="4591" max="4591" width="52" style="53" customWidth="1"/>
    <col min="4592" max="4592" width="5.28515625" style="53" customWidth="1"/>
    <col min="4593" max="4593" width="5.85546875" style="53" bestFit="1" customWidth="1"/>
    <col min="4594" max="4594" width="16.42578125" style="53" customWidth="1"/>
    <col min="4595" max="4595" width="4.5703125" style="53" customWidth="1"/>
    <col min="4596" max="4596" width="14.140625" style="53" customWidth="1"/>
    <col min="4597" max="4597" width="27.140625" style="53" customWidth="1"/>
    <col min="4598" max="4598" width="16.28515625" style="53" customWidth="1"/>
    <col min="4599" max="4599" width="13.85546875" style="53" customWidth="1"/>
    <col min="4600" max="4842" width="9.140625" style="53"/>
    <col min="4843" max="4843" width="1.7109375" style="53" customWidth="1"/>
    <col min="4844" max="4845" width="4.7109375" style="53" customWidth="1"/>
    <col min="4846" max="4846" width="54.140625" style="53" customWidth="1"/>
    <col min="4847" max="4847" width="52" style="53" customWidth="1"/>
    <col min="4848" max="4848" width="5.28515625" style="53" customWidth="1"/>
    <col min="4849" max="4849" width="5.85546875" style="53" bestFit="1" customWidth="1"/>
    <col min="4850" max="4850" width="16.42578125" style="53" customWidth="1"/>
    <col min="4851" max="4851" width="4.5703125" style="53" customWidth="1"/>
    <col min="4852" max="4852" width="14.140625" style="53" customWidth="1"/>
    <col min="4853" max="4853" width="27.140625" style="53" customWidth="1"/>
    <col min="4854" max="4854" width="16.28515625" style="53" customWidth="1"/>
    <col min="4855" max="4855" width="13.85546875" style="53" customWidth="1"/>
    <col min="4856" max="5098" width="9.140625" style="53"/>
    <col min="5099" max="5099" width="1.7109375" style="53" customWidth="1"/>
    <col min="5100" max="5101" width="4.7109375" style="53" customWidth="1"/>
    <col min="5102" max="5102" width="54.140625" style="53" customWidth="1"/>
    <col min="5103" max="5103" width="52" style="53" customWidth="1"/>
    <col min="5104" max="5104" width="5.28515625" style="53" customWidth="1"/>
    <col min="5105" max="5105" width="5.85546875" style="53" bestFit="1" customWidth="1"/>
    <col min="5106" max="5106" width="16.42578125" style="53" customWidth="1"/>
    <col min="5107" max="5107" width="4.5703125" style="53" customWidth="1"/>
    <col min="5108" max="5108" width="14.140625" style="53" customWidth="1"/>
    <col min="5109" max="5109" width="27.140625" style="53" customWidth="1"/>
    <col min="5110" max="5110" width="16.28515625" style="53" customWidth="1"/>
    <col min="5111" max="5111" width="13.85546875" style="53" customWidth="1"/>
    <col min="5112" max="5354" width="9.140625" style="53"/>
    <col min="5355" max="5355" width="1.7109375" style="53" customWidth="1"/>
    <col min="5356" max="5357" width="4.7109375" style="53" customWidth="1"/>
    <col min="5358" max="5358" width="54.140625" style="53" customWidth="1"/>
    <col min="5359" max="5359" width="52" style="53" customWidth="1"/>
    <col min="5360" max="5360" width="5.28515625" style="53" customWidth="1"/>
    <col min="5361" max="5361" width="5.85546875" style="53" bestFit="1" customWidth="1"/>
    <col min="5362" max="5362" width="16.42578125" style="53" customWidth="1"/>
    <col min="5363" max="5363" width="4.5703125" style="53" customWidth="1"/>
    <col min="5364" max="5364" width="14.140625" style="53" customWidth="1"/>
    <col min="5365" max="5365" width="27.140625" style="53" customWidth="1"/>
    <col min="5366" max="5366" width="16.28515625" style="53" customWidth="1"/>
    <col min="5367" max="5367" width="13.85546875" style="53" customWidth="1"/>
    <col min="5368" max="5610" width="9.140625" style="53"/>
    <col min="5611" max="5611" width="1.7109375" style="53" customWidth="1"/>
    <col min="5612" max="5613" width="4.7109375" style="53" customWidth="1"/>
    <col min="5614" max="5614" width="54.140625" style="53" customWidth="1"/>
    <col min="5615" max="5615" width="52" style="53" customWidth="1"/>
    <col min="5616" max="5616" width="5.28515625" style="53" customWidth="1"/>
    <col min="5617" max="5617" width="5.85546875" style="53" bestFit="1" customWidth="1"/>
    <col min="5618" max="5618" width="16.42578125" style="53" customWidth="1"/>
    <col min="5619" max="5619" width="4.5703125" style="53" customWidth="1"/>
    <col min="5620" max="5620" width="14.140625" style="53" customWidth="1"/>
    <col min="5621" max="5621" width="27.140625" style="53" customWidth="1"/>
    <col min="5622" max="5622" width="16.28515625" style="53" customWidth="1"/>
    <col min="5623" max="5623" width="13.85546875" style="53" customWidth="1"/>
    <col min="5624" max="5866" width="9.140625" style="53"/>
    <col min="5867" max="5867" width="1.7109375" style="53" customWidth="1"/>
    <col min="5868" max="5869" width="4.7109375" style="53" customWidth="1"/>
    <col min="5870" max="5870" width="54.140625" style="53" customWidth="1"/>
    <col min="5871" max="5871" width="52" style="53" customWidth="1"/>
    <col min="5872" max="5872" width="5.28515625" style="53" customWidth="1"/>
    <col min="5873" max="5873" width="5.85546875" style="53" bestFit="1" customWidth="1"/>
    <col min="5874" max="5874" width="16.42578125" style="53" customWidth="1"/>
    <col min="5875" max="5875" width="4.5703125" style="53" customWidth="1"/>
    <col min="5876" max="5876" width="14.140625" style="53" customWidth="1"/>
    <col min="5877" max="5877" width="27.140625" style="53" customWidth="1"/>
    <col min="5878" max="5878" width="16.28515625" style="53" customWidth="1"/>
    <col min="5879" max="5879" width="13.85546875" style="53" customWidth="1"/>
    <col min="5880" max="6122" width="9.140625" style="53"/>
    <col min="6123" max="6123" width="1.7109375" style="53" customWidth="1"/>
    <col min="6124" max="6125" width="4.7109375" style="53" customWidth="1"/>
    <col min="6126" max="6126" width="54.140625" style="53" customWidth="1"/>
    <col min="6127" max="6127" width="52" style="53" customWidth="1"/>
    <col min="6128" max="6128" width="5.28515625" style="53" customWidth="1"/>
    <col min="6129" max="6129" width="5.85546875" style="53" bestFit="1" customWidth="1"/>
    <col min="6130" max="6130" width="16.42578125" style="53" customWidth="1"/>
    <col min="6131" max="6131" width="4.5703125" style="53" customWidth="1"/>
    <col min="6132" max="6132" width="14.140625" style="53" customWidth="1"/>
    <col min="6133" max="6133" width="27.140625" style="53" customWidth="1"/>
    <col min="6134" max="6134" width="16.28515625" style="53" customWidth="1"/>
    <col min="6135" max="6135" width="13.85546875" style="53" customWidth="1"/>
    <col min="6136" max="6378" width="9.140625" style="53"/>
    <col min="6379" max="6379" width="1.7109375" style="53" customWidth="1"/>
    <col min="6380" max="6381" width="4.7109375" style="53" customWidth="1"/>
    <col min="6382" max="6382" width="54.140625" style="53" customWidth="1"/>
    <col min="6383" max="6383" width="52" style="53" customWidth="1"/>
    <col min="6384" max="6384" width="5.28515625" style="53" customWidth="1"/>
    <col min="6385" max="6385" width="5.85546875" style="53" bestFit="1" customWidth="1"/>
    <col min="6386" max="6386" width="16.42578125" style="53" customWidth="1"/>
    <col min="6387" max="6387" width="4.5703125" style="53" customWidth="1"/>
    <col min="6388" max="6388" width="14.140625" style="53" customWidth="1"/>
    <col min="6389" max="6389" width="27.140625" style="53" customWidth="1"/>
    <col min="6390" max="6390" width="16.28515625" style="53" customWidth="1"/>
    <col min="6391" max="6391" width="13.85546875" style="53" customWidth="1"/>
    <col min="6392" max="6634" width="9.140625" style="53"/>
    <col min="6635" max="6635" width="1.7109375" style="53" customWidth="1"/>
    <col min="6636" max="6637" width="4.7109375" style="53" customWidth="1"/>
    <col min="6638" max="6638" width="54.140625" style="53" customWidth="1"/>
    <col min="6639" max="6639" width="52" style="53" customWidth="1"/>
    <col min="6640" max="6640" width="5.28515625" style="53" customWidth="1"/>
    <col min="6641" max="6641" width="5.85546875" style="53" bestFit="1" customWidth="1"/>
    <col min="6642" max="6642" width="16.42578125" style="53" customWidth="1"/>
    <col min="6643" max="6643" width="4.5703125" style="53" customWidth="1"/>
    <col min="6644" max="6644" width="14.140625" style="53" customWidth="1"/>
    <col min="6645" max="6645" width="27.140625" style="53" customWidth="1"/>
    <col min="6646" max="6646" width="16.28515625" style="53" customWidth="1"/>
    <col min="6647" max="6647" width="13.85546875" style="53" customWidth="1"/>
    <col min="6648" max="6890" width="9.140625" style="53"/>
    <col min="6891" max="6891" width="1.7109375" style="53" customWidth="1"/>
    <col min="6892" max="6893" width="4.7109375" style="53" customWidth="1"/>
    <col min="6894" max="6894" width="54.140625" style="53" customWidth="1"/>
    <col min="6895" max="6895" width="52" style="53" customWidth="1"/>
    <col min="6896" max="6896" width="5.28515625" style="53" customWidth="1"/>
    <col min="6897" max="6897" width="5.85546875" style="53" bestFit="1" customWidth="1"/>
    <col min="6898" max="6898" width="16.42578125" style="53" customWidth="1"/>
    <col min="6899" max="6899" width="4.5703125" style="53" customWidth="1"/>
    <col min="6900" max="6900" width="14.140625" style="53" customWidth="1"/>
    <col min="6901" max="6901" width="27.140625" style="53" customWidth="1"/>
    <col min="6902" max="6902" width="16.28515625" style="53" customWidth="1"/>
    <col min="6903" max="6903" width="13.85546875" style="53" customWidth="1"/>
    <col min="6904" max="7146" width="9.140625" style="53"/>
    <col min="7147" max="7147" width="1.7109375" style="53" customWidth="1"/>
    <col min="7148" max="7149" width="4.7109375" style="53" customWidth="1"/>
    <col min="7150" max="7150" width="54.140625" style="53" customWidth="1"/>
    <col min="7151" max="7151" width="52" style="53" customWidth="1"/>
    <col min="7152" max="7152" width="5.28515625" style="53" customWidth="1"/>
    <col min="7153" max="7153" width="5.85546875" style="53" bestFit="1" customWidth="1"/>
    <col min="7154" max="7154" width="16.42578125" style="53" customWidth="1"/>
    <col min="7155" max="7155" width="4.5703125" style="53" customWidth="1"/>
    <col min="7156" max="7156" width="14.140625" style="53" customWidth="1"/>
    <col min="7157" max="7157" width="27.140625" style="53" customWidth="1"/>
    <col min="7158" max="7158" width="16.28515625" style="53" customWidth="1"/>
    <col min="7159" max="7159" width="13.85546875" style="53" customWidth="1"/>
    <col min="7160" max="7402" width="9.140625" style="53"/>
    <col min="7403" max="7403" width="1.7109375" style="53" customWidth="1"/>
    <col min="7404" max="7405" width="4.7109375" style="53" customWidth="1"/>
    <col min="7406" max="7406" width="54.140625" style="53" customWidth="1"/>
    <col min="7407" max="7407" width="52" style="53" customWidth="1"/>
    <col min="7408" max="7408" width="5.28515625" style="53" customWidth="1"/>
    <col min="7409" max="7409" width="5.85546875" style="53" bestFit="1" customWidth="1"/>
    <col min="7410" max="7410" width="16.42578125" style="53" customWidth="1"/>
    <col min="7411" max="7411" width="4.5703125" style="53" customWidth="1"/>
    <col min="7412" max="7412" width="14.140625" style="53" customWidth="1"/>
    <col min="7413" max="7413" width="27.140625" style="53" customWidth="1"/>
    <col min="7414" max="7414" width="16.28515625" style="53" customWidth="1"/>
    <col min="7415" max="7415" width="13.85546875" style="53" customWidth="1"/>
    <col min="7416" max="7658" width="9.140625" style="53"/>
    <col min="7659" max="7659" width="1.7109375" style="53" customWidth="1"/>
    <col min="7660" max="7661" width="4.7109375" style="53" customWidth="1"/>
    <col min="7662" max="7662" width="54.140625" style="53" customWidth="1"/>
    <col min="7663" max="7663" width="52" style="53" customWidth="1"/>
    <col min="7664" max="7664" width="5.28515625" style="53" customWidth="1"/>
    <col min="7665" max="7665" width="5.85546875" style="53" bestFit="1" customWidth="1"/>
    <col min="7666" max="7666" width="16.42578125" style="53" customWidth="1"/>
    <col min="7667" max="7667" width="4.5703125" style="53" customWidth="1"/>
    <col min="7668" max="7668" width="14.140625" style="53" customWidth="1"/>
    <col min="7669" max="7669" width="27.140625" style="53" customWidth="1"/>
    <col min="7670" max="7670" width="16.28515625" style="53" customWidth="1"/>
    <col min="7671" max="7671" width="13.85546875" style="53" customWidth="1"/>
    <col min="7672" max="7914" width="9.140625" style="53"/>
    <col min="7915" max="7915" width="1.7109375" style="53" customWidth="1"/>
    <col min="7916" max="7917" width="4.7109375" style="53" customWidth="1"/>
    <col min="7918" max="7918" width="54.140625" style="53" customWidth="1"/>
    <col min="7919" max="7919" width="52" style="53" customWidth="1"/>
    <col min="7920" max="7920" width="5.28515625" style="53" customWidth="1"/>
    <col min="7921" max="7921" width="5.85546875" style="53" bestFit="1" customWidth="1"/>
    <col min="7922" max="7922" width="16.42578125" style="53" customWidth="1"/>
    <col min="7923" max="7923" width="4.5703125" style="53" customWidth="1"/>
    <col min="7924" max="7924" width="14.140625" style="53" customWidth="1"/>
    <col min="7925" max="7925" width="27.140625" style="53" customWidth="1"/>
    <col min="7926" max="7926" width="16.28515625" style="53" customWidth="1"/>
    <col min="7927" max="7927" width="13.85546875" style="53" customWidth="1"/>
    <col min="7928" max="8170" width="9.140625" style="53"/>
    <col min="8171" max="8171" width="1.7109375" style="53" customWidth="1"/>
    <col min="8172" max="8173" width="4.7109375" style="53" customWidth="1"/>
    <col min="8174" max="8174" width="54.140625" style="53" customWidth="1"/>
    <col min="8175" max="8175" width="52" style="53" customWidth="1"/>
    <col min="8176" max="8176" width="5.28515625" style="53" customWidth="1"/>
    <col min="8177" max="8177" width="5.85546875" style="53" bestFit="1" customWidth="1"/>
    <col min="8178" max="8178" width="16.42578125" style="53" customWidth="1"/>
    <col min="8179" max="8179" width="4.5703125" style="53" customWidth="1"/>
    <col min="8180" max="8180" width="14.140625" style="53" customWidth="1"/>
    <col min="8181" max="8181" width="27.140625" style="53" customWidth="1"/>
    <col min="8182" max="8182" width="16.28515625" style="53" customWidth="1"/>
    <col min="8183" max="8183" width="13.85546875" style="53" customWidth="1"/>
    <col min="8184" max="8426" width="9.140625" style="53"/>
    <col min="8427" max="8427" width="1.7109375" style="53" customWidth="1"/>
    <col min="8428" max="8429" width="4.7109375" style="53" customWidth="1"/>
    <col min="8430" max="8430" width="54.140625" style="53" customWidth="1"/>
    <col min="8431" max="8431" width="52" style="53" customWidth="1"/>
    <col min="8432" max="8432" width="5.28515625" style="53" customWidth="1"/>
    <col min="8433" max="8433" width="5.85546875" style="53" bestFit="1" customWidth="1"/>
    <col min="8434" max="8434" width="16.42578125" style="53" customWidth="1"/>
    <col min="8435" max="8435" width="4.5703125" style="53" customWidth="1"/>
    <col min="8436" max="8436" width="14.140625" style="53" customWidth="1"/>
    <col min="8437" max="8437" width="27.140625" style="53" customWidth="1"/>
    <col min="8438" max="8438" width="16.28515625" style="53" customWidth="1"/>
    <col min="8439" max="8439" width="13.85546875" style="53" customWidth="1"/>
    <col min="8440" max="8682" width="9.140625" style="53"/>
    <col min="8683" max="8683" width="1.7109375" style="53" customWidth="1"/>
    <col min="8684" max="8685" width="4.7109375" style="53" customWidth="1"/>
    <col min="8686" max="8686" width="54.140625" style="53" customWidth="1"/>
    <col min="8687" max="8687" width="52" style="53" customWidth="1"/>
    <col min="8688" max="8688" width="5.28515625" style="53" customWidth="1"/>
    <col min="8689" max="8689" width="5.85546875" style="53" bestFit="1" customWidth="1"/>
    <col min="8690" max="8690" width="16.42578125" style="53" customWidth="1"/>
    <col min="8691" max="8691" width="4.5703125" style="53" customWidth="1"/>
    <col min="8692" max="8692" width="14.140625" style="53" customWidth="1"/>
    <col min="8693" max="8693" width="27.140625" style="53" customWidth="1"/>
    <col min="8694" max="8694" width="16.28515625" style="53" customWidth="1"/>
    <col min="8695" max="8695" width="13.85546875" style="53" customWidth="1"/>
    <col min="8696" max="8938" width="9.140625" style="53"/>
    <col min="8939" max="8939" width="1.7109375" style="53" customWidth="1"/>
    <col min="8940" max="8941" width="4.7109375" style="53" customWidth="1"/>
    <col min="8942" max="8942" width="54.140625" style="53" customWidth="1"/>
    <col min="8943" max="8943" width="52" style="53" customWidth="1"/>
    <col min="8944" max="8944" width="5.28515625" style="53" customWidth="1"/>
    <col min="8945" max="8945" width="5.85546875" style="53" bestFit="1" customWidth="1"/>
    <col min="8946" max="8946" width="16.42578125" style="53" customWidth="1"/>
    <col min="8947" max="8947" width="4.5703125" style="53" customWidth="1"/>
    <col min="8948" max="8948" width="14.140625" style="53" customWidth="1"/>
    <col min="8949" max="8949" width="27.140625" style="53" customWidth="1"/>
    <col min="8950" max="8950" width="16.28515625" style="53" customWidth="1"/>
    <col min="8951" max="8951" width="13.85546875" style="53" customWidth="1"/>
    <col min="8952" max="9194" width="9.140625" style="53"/>
    <col min="9195" max="9195" width="1.7109375" style="53" customWidth="1"/>
    <col min="9196" max="9197" width="4.7109375" style="53" customWidth="1"/>
    <col min="9198" max="9198" width="54.140625" style="53" customWidth="1"/>
    <col min="9199" max="9199" width="52" style="53" customWidth="1"/>
    <col min="9200" max="9200" width="5.28515625" style="53" customWidth="1"/>
    <col min="9201" max="9201" width="5.85546875" style="53" bestFit="1" customWidth="1"/>
    <col min="9202" max="9202" width="16.42578125" style="53" customWidth="1"/>
    <col min="9203" max="9203" width="4.5703125" style="53" customWidth="1"/>
    <col min="9204" max="9204" width="14.140625" style="53" customWidth="1"/>
    <col min="9205" max="9205" width="27.140625" style="53" customWidth="1"/>
    <col min="9206" max="9206" width="16.28515625" style="53" customWidth="1"/>
    <col min="9207" max="9207" width="13.85546875" style="53" customWidth="1"/>
    <col min="9208" max="9450" width="9.140625" style="53"/>
    <col min="9451" max="9451" width="1.7109375" style="53" customWidth="1"/>
    <col min="9452" max="9453" width="4.7109375" style="53" customWidth="1"/>
    <col min="9454" max="9454" width="54.140625" style="53" customWidth="1"/>
    <col min="9455" max="9455" width="52" style="53" customWidth="1"/>
    <col min="9456" max="9456" width="5.28515625" style="53" customWidth="1"/>
    <col min="9457" max="9457" width="5.85546875" style="53" bestFit="1" customWidth="1"/>
    <col min="9458" max="9458" width="16.42578125" style="53" customWidth="1"/>
    <col min="9459" max="9459" width="4.5703125" style="53" customWidth="1"/>
    <col min="9460" max="9460" width="14.140625" style="53" customWidth="1"/>
    <col min="9461" max="9461" width="27.140625" style="53" customWidth="1"/>
    <col min="9462" max="9462" width="16.28515625" style="53" customWidth="1"/>
    <col min="9463" max="9463" width="13.85546875" style="53" customWidth="1"/>
    <col min="9464" max="9706" width="9.140625" style="53"/>
    <col min="9707" max="9707" width="1.7109375" style="53" customWidth="1"/>
    <col min="9708" max="9709" width="4.7109375" style="53" customWidth="1"/>
    <col min="9710" max="9710" width="54.140625" style="53" customWidth="1"/>
    <col min="9711" max="9711" width="52" style="53" customWidth="1"/>
    <col min="9712" max="9712" width="5.28515625" style="53" customWidth="1"/>
    <col min="9713" max="9713" width="5.85546875" style="53" bestFit="1" customWidth="1"/>
    <col min="9714" max="9714" width="16.42578125" style="53" customWidth="1"/>
    <col min="9715" max="9715" width="4.5703125" style="53" customWidth="1"/>
    <col min="9716" max="9716" width="14.140625" style="53" customWidth="1"/>
    <col min="9717" max="9717" width="27.140625" style="53" customWidth="1"/>
    <col min="9718" max="9718" width="16.28515625" style="53" customWidth="1"/>
    <col min="9719" max="9719" width="13.85546875" style="53" customWidth="1"/>
    <col min="9720" max="9962" width="9.140625" style="53"/>
    <col min="9963" max="9963" width="1.7109375" style="53" customWidth="1"/>
    <col min="9964" max="9965" width="4.7109375" style="53" customWidth="1"/>
    <col min="9966" max="9966" width="54.140625" style="53" customWidth="1"/>
    <col min="9967" max="9967" width="52" style="53" customWidth="1"/>
    <col min="9968" max="9968" width="5.28515625" style="53" customWidth="1"/>
    <col min="9969" max="9969" width="5.85546875" style="53" bestFit="1" customWidth="1"/>
    <col min="9970" max="9970" width="16.42578125" style="53" customWidth="1"/>
    <col min="9971" max="9971" width="4.5703125" style="53" customWidth="1"/>
    <col min="9972" max="9972" width="14.140625" style="53" customWidth="1"/>
    <col min="9973" max="9973" width="27.140625" style="53" customWidth="1"/>
    <col min="9974" max="9974" width="16.28515625" style="53" customWidth="1"/>
    <col min="9975" max="9975" width="13.85546875" style="53" customWidth="1"/>
    <col min="9976" max="10218" width="9.140625" style="53"/>
    <col min="10219" max="10219" width="1.7109375" style="53" customWidth="1"/>
    <col min="10220" max="10221" width="4.7109375" style="53" customWidth="1"/>
    <col min="10222" max="10222" width="54.140625" style="53" customWidth="1"/>
    <col min="10223" max="10223" width="52" style="53" customWidth="1"/>
    <col min="10224" max="10224" width="5.28515625" style="53" customWidth="1"/>
    <col min="10225" max="10225" width="5.85546875" style="53" bestFit="1" customWidth="1"/>
    <col min="10226" max="10226" width="16.42578125" style="53" customWidth="1"/>
    <col min="10227" max="10227" width="4.5703125" style="53" customWidth="1"/>
    <col min="10228" max="10228" width="14.140625" style="53" customWidth="1"/>
    <col min="10229" max="10229" width="27.140625" style="53" customWidth="1"/>
    <col min="10230" max="10230" width="16.28515625" style="53" customWidth="1"/>
    <col min="10231" max="10231" width="13.85546875" style="53" customWidth="1"/>
    <col min="10232" max="10474" width="9.140625" style="53"/>
    <col min="10475" max="10475" width="1.7109375" style="53" customWidth="1"/>
    <col min="10476" max="10477" width="4.7109375" style="53" customWidth="1"/>
    <col min="10478" max="10478" width="54.140625" style="53" customWidth="1"/>
    <col min="10479" max="10479" width="52" style="53" customWidth="1"/>
    <col min="10480" max="10480" width="5.28515625" style="53" customWidth="1"/>
    <col min="10481" max="10481" width="5.85546875" style="53" bestFit="1" customWidth="1"/>
    <col min="10482" max="10482" width="16.42578125" style="53" customWidth="1"/>
    <col min="10483" max="10483" width="4.5703125" style="53" customWidth="1"/>
    <col min="10484" max="10484" width="14.140625" style="53" customWidth="1"/>
    <col min="10485" max="10485" width="27.140625" style="53" customWidth="1"/>
    <col min="10486" max="10486" width="16.28515625" style="53" customWidth="1"/>
    <col min="10487" max="10487" width="13.85546875" style="53" customWidth="1"/>
    <col min="10488" max="10730" width="9.140625" style="53"/>
    <col min="10731" max="10731" width="1.7109375" style="53" customWidth="1"/>
    <col min="10732" max="10733" width="4.7109375" style="53" customWidth="1"/>
    <col min="10734" max="10734" width="54.140625" style="53" customWidth="1"/>
    <col min="10735" max="10735" width="52" style="53" customWidth="1"/>
    <col min="10736" max="10736" width="5.28515625" style="53" customWidth="1"/>
    <col min="10737" max="10737" width="5.85546875" style="53" bestFit="1" customWidth="1"/>
    <col min="10738" max="10738" width="16.42578125" style="53" customWidth="1"/>
    <col min="10739" max="10739" width="4.5703125" style="53" customWidth="1"/>
    <col min="10740" max="10740" width="14.140625" style="53" customWidth="1"/>
    <col min="10741" max="10741" width="27.140625" style="53" customWidth="1"/>
    <col min="10742" max="10742" width="16.28515625" style="53" customWidth="1"/>
    <col min="10743" max="10743" width="13.85546875" style="53" customWidth="1"/>
    <col min="10744" max="10986" width="9.140625" style="53"/>
    <col min="10987" max="10987" width="1.7109375" style="53" customWidth="1"/>
    <col min="10988" max="10989" width="4.7109375" style="53" customWidth="1"/>
    <col min="10990" max="10990" width="54.140625" style="53" customWidth="1"/>
    <col min="10991" max="10991" width="52" style="53" customWidth="1"/>
    <col min="10992" max="10992" width="5.28515625" style="53" customWidth="1"/>
    <col min="10993" max="10993" width="5.85546875" style="53" bestFit="1" customWidth="1"/>
    <col min="10994" max="10994" width="16.42578125" style="53" customWidth="1"/>
    <col min="10995" max="10995" width="4.5703125" style="53" customWidth="1"/>
    <col min="10996" max="10996" width="14.140625" style="53" customWidth="1"/>
    <col min="10997" max="10997" width="27.140625" style="53" customWidth="1"/>
    <col min="10998" max="10998" width="16.28515625" style="53" customWidth="1"/>
    <col min="10999" max="10999" width="13.85546875" style="53" customWidth="1"/>
    <col min="11000" max="11242" width="9.140625" style="53"/>
    <col min="11243" max="11243" width="1.7109375" style="53" customWidth="1"/>
    <col min="11244" max="11245" width="4.7109375" style="53" customWidth="1"/>
    <col min="11246" max="11246" width="54.140625" style="53" customWidth="1"/>
    <col min="11247" max="11247" width="52" style="53" customWidth="1"/>
    <col min="11248" max="11248" width="5.28515625" style="53" customWidth="1"/>
    <col min="11249" max="11249" width="5.85546875" style="53" bestFit="1" customWidth="1"/>
    <col min="11250" max="11250" width="16.42578125" style="53" customWidth="1"/>
    <col min="11251" max="11251" width="4.5703125" style="53" customWidth="1"/>
    <col min="11252" max="11252" width="14.140625" style="53" customWidth="1"/>
    <col min="11253" max="11253" width="27.140625" style="53" customWidth="1"/>
    <col min="11254" max="11254" width="16.28515625" style="53" customWidth="1"/>
    <col min="11255" max="11255" width="13.85546875" style="53" customWidth="1"/>
    <col min="11256" max="11498" width="9.140625" style="53"/>
    <col min="11499" max="11499" width="1.7109375" style="53" customWidth="1"/>
    <col min="11500" max="11501" width="4.7109375" style="53" customWidth="1"/>
    <col min="11502" max="11502" width="54.140625" style="53" customWidth="1"/>
    <col min="11503" max="11503" width="52" style="53" customWidth="1"/>
    <col min="11504" max="11504" width="5.28515625" style="53" customWidth="1"/>
    <col min="11505" max="11505" width="5.85546875" style="53" bestFit="1" customWidth="1"/>
    <col min="11506" max="11506" width="16.42578125" style="53" customWidth="1"/>
    <col min="11507" max="11507" width="4.5703125" style="53" customWidth="1"/>
    <col min="11508" max="11508" width="14.140625" style="53" customWidth="1"/>
    <col min="11509" max="11509" width="27.140625" style="53" customWidth="1"/>
    <col min="11510" max="11510" width="16.28515625" style="53" customWidth="1"/>
    <col min="11511" max="11511" width="13.85546875" style="53" customWidth="1"/>
    <col min="11512" max="11754" width="9.140625" style="53"/>
    <col min="11755" max="11755" width="1.7109375" style="53" customWidth="1"/>
    <col min="11756" max="11757" width="4.7109375" style="53" customWidth="1"/>
    <col min="11758" max="11758" width="54.140625" style="53" customWidth="1"/>
    <col min="11759" max="11759" width="52" style="53" customWidth="1"/>
    <col min="11760" max="11760" width="5.28515625" style="53" customWidth="1"/>
    <col min="11761" max="11761" width="5.85546875" style="53" bestFit="1" customWidth="1"/>
    <col min="11762" max="11762" width="16.42578125" style="53" customWidth="1"/>
    <col min="11763" max="11763" width="4.5703125" style="53" customWidth="1"/>
    <col min="11764" max="11764" width="14.140625" style="53" customWidth="1"/>
    <col min="11765" max="11765" width="27.140625" style="53" customWidth="1"/>
    <col min="11766" max="11766" width="16.28515625" style="53" customWidth="1"/>
    <col min="11767" max="11767" width="13.85546875" style="53" customWidth="1"/>
    <col min="11768" max="12010" width="9.140625" style="53"/>
    <col min="12011" max="12011" width="1.7109375" style="53" customWidth="1"/>
    <col min="12012" max="12013" width="4.7109375" style="53" customWidth="1"/>
    <col min="12014" max="12014" width="54.140625" style="53" customWidth="1"/>
    <col min="12015" max="12015" width="52" style="53" customWidth="1"/>
    <col min="12016" max="12016" width="5.28515625" style="53" customWidth="1"/>
    <col min="12017" max="12017" width="5.85546875" style="53" bestFit="1" customWidth="1"/>
    <col min="12018" max="12018" width="16.42578125" style="53" customWidth="1"/>
    <col min="12019" max="12019" width="4.5703125" style="53" customWidth="1"/>
    <col min="12020" max="12020" width="14.140625" style="53" customWidth="1"/>
    <col min="12021" max="12021" width="27.140625" style="53" customWidth="1"/>
    <col min="12022" max="12022" width="16.28515625" style="53" customWidth="1"/>
    <col min="12023" max="12023" width="13.85546875" style="53" customWidth="1"/>
    <col min="12024" max="12266" width="9.140625" style="53"/>
    <col min="12267" max="12267" width="1.7109375" style="53" customWidth="1"/>
    <col min="12268" max="12269" width="4.7109375" style="53" customWidth="1"/>
    <col min="12270" max="12270" width="54.140625" style="53" customWidth="1"/>
    <col min="12271" max="12271" width="52" style="53" customWidth="1"/>
    <col min="12272" max="12272" width="5.28515625" style="53" customWidth="1"/>
    <col min="12273" max="12273" width="5.85546875" style="53" bestFit="1" customWidth="1"/>
    <col min="12274" max="12274" width="16.42578125" style="53" customWidth="1"/>
    <col min="12275" max="12275" width="4.5703125" style="53" customWidth="1"/>
    <col min="12276" max="12276" width="14.140625" style="53" customWidth="1"/>
    <col min="12277" max="12277" width="27.140625" style="53" customWidth="1"/>
    <col min="12278" max="12278" width="16.28515625" style="53" customWidth="1"/>
    <col min="12279" max="12279" width="13.85546875" style="53" customWidth="1"/>
    <col min="12280" max="12522" width="9.140625" style="53"/>
    <col min="12523" max="12523" width="1.7109375" style="53" customWidth="1"/>
    <col min="12524" max="12525" width="4.7109375" style="53" customWidth="1"/>
    <col min="12526" max="12526" width="54.140625" style="53" customWidth="1"/>
    <col min="12527" max="12527" width="52" style="53" customWidth="1"/>
    <col min="12528" max="12528" width="5.28515625" style="53" customWidth="1"/>
    <col min="12529" max="12529" width="5.85546875" style="53" bestFit="1" customWidth="1"/>
    <col min="12530" max="12530" width="16.42578125" style="53" customWidth="1"/>
    <col min="12531" max="12531" width="4.5703125" style="53" customWidth="1"/>
    <col min="12532" max="12532" width="14.140625" style="53" customWidth="1"/>
    <col min="12533" max="12533" width="27.140625" style="53" customWidth="1"/>
    <col min="12534" max="12534" width="16.28515625" style="53" customWidth="1"/>
    <col min="12535" max="12535" width="13.85546875" style="53" customWidth="1"/>
    <col min="12536" max="12778" width="9.140625" style="53"/>
    <col min="12779" max="12779" width="1.7109375" style="53" customWidth="1"/>
    <col min="12780" max="12781" width="4.7109375" style="53" customWidth="1"/>
    <col min="12782" max="12782" width="54.140625" style="53" customWidth="1"/>
    <col min="12783" max="12783" width="52" style="53" customWidth="1"/>
    <col min="12784" max="12784" width="5.28515625" style="53" customWidth="1"/>
    <col min="12785" max="12785" width="5.85546875" style="53" bestFit="1" customWidth="1"/>
    <col min="12786" max="12786" width="16.42578125" style="53" customWidth="1"/>
    <col min="12787" max="12787" width="4.5703125" style="53" customWidth="1"/>
    <col min="12788" max="12788" width="14.140625" style="53" customWidth="1"/>
    <col min="12789" max="12789" width="27.140625" style="53" customWidth="1"/>
    <col min="12790" max="12790" width="16.28515625" style="53" customWidth="1"/>
    <col min="12791" max="12791" width="13.85546875" style="53" customWidth="1"/>
    <col min="12792" max="13034" width="9.140625" style="53"/>
    <col min="13035" max="13035" width="1.7109375" style="53" customWidth="1"/>
    <col min="13036" max="13037" width="4.7109375" style="53" customWidth="1"/>
    <col min="13038" max="13038" width="54.140625" style="53" customWidth="1"/>
    <col min="13039" max="13039" width="52" style="53" customWidth="1"/>
    <col min="13040" max="13040" width="5.28515625" style="53" customWidth="1"/>
    <col min="13041" max="13041" width="5.85546875" style="53" bestFit="1" customWidth="1"/>
    <col min="13042" max="13042" width="16.42578125" style="53" customWidth="1"/>
    <col min="13043" max="13043" width="4.5703125" style="53" customWidth="1"/>
    <col min="13044" max="13044" width="14.140625" style="53" customWidth="1"/>
    <col min="13045" max="13045" width="27.140625" style="53" customWidth="1"/>
    <col min="13046" max="13046" width="16.28515625" style="53" customWidth="1"/>
    <col min="13047" max="13047" width="13.85546875" style="53" customWidth="1"/>
    <col min="13048" max="13290" width="9.140625" style="53"/>
    <col min="13291" max="13291" width="1.7109375" style="53" customWidth="1"/>
    <col min="13292" max="13293" width="4.7109375" style="53" customWidth="1"/>
    <col min="13294" max="13294" width="54.140625" style="53" customWidth="1"/>
    <col min="13295" max="13295" width="52" style="53" customWidth="1"/>
    <col min="13296" max="13296" width="5.28515625" style="53" customWidth="1"/>
    <col min="13297" max="13297" width="5.85546875" style="53" bestFit="1" customWidth="1"/>
    <col min="13298" max="13298" width="16.42578125" style="53" customWidth="1"/>
    <col min="13299" max="13299" width="4.5703125" style="53" customWidth="1"/>
    <col min="13300" max="13300" width="14.140625" style="53" customWidth="1"/>
    <col min="13301" max="13301" width="27.140625" style="53" customWidth="1"/>
    <col min="13302" max="13302" width="16.28515625" style="53" customWidth="1"/>
    <col min="13303" max="13303" width="13.85546875" style="53" customWidth="1"/>
    <col min="13304" max="13546" width="9.140625" style="53"/>
    <col min="13547" max="13547" width="1.7109375" style="53" customWidth="1"/>
    <col min="13548" max="13549" width="4.7109375" style="53" customWidth="1"/>
    <col min="13550" max="13550" width="54.140625" style="53" customWidth="1"/>
    <col min="13551" max="13551" width="52" style="53" customWidth="1"/>
    <col min="13552" max="13552" width="5.28515625" style="53" customWidth="1"/>
    <col min="13553" max="13553" width="5.85546875" style="53" bestFit="1" customWidth="1"/>
    <col min="13554" max="13554" width="16.42578125" style="53" customWidth="1"/>
    <col min="13555" max="13555" width="4.5703125" style="53" customWidth="1"/>
    <col min="13556" max="13556" width="14.140625" style="53" customWidth="1"/>
    <col min="13557" max="13557" width="27.140625" style="53" customWidth="1"/>
    <col min="13558" max="13558" width="16.28515625" style="53" customWidth="1"/>
    <col min="13559" max="13559" width="13.85546875" style="53" customWidth="1"/>
    <col min="13560" max="13802" width="9.140625" style="53"/>
    <col min="13803" max="13803" width="1.7109375" style="53" customWidth="1"/>
    <col min="13804" max="13805" width="4.7109375" style="53" customWidth="1"/>
    <col min="13806" max="13806" width="54.140625" style="53" customWidth="1"/>
    <col min="13807" max="13807" width="52" style="53" customWidth="1"/>
    <col min="13808" max="13808" width="5.28515625" style="53" customWidth="1"/>
    <col min="13809" max="13809" width="5.85546875" style="53" bestFit="1" customWidth="1"/>
    <col min="13810" max="13810" width="16.42578125" style="53" customWidth="1"/>
    <col min="13811" max="13811" width="4.5703125" style="53" customWidth="1"/>
    <col min="13812" max="13812" width="14.140625" style="53" customWidth="1"/>
    <col min="13813" max="13813" width="27.140625" style="53" customWidth="1"/>
    <col min="13814" max="13814" width="16.28515625" style="53" customWidth="1"/>
    <col min="13815" max="13815" width="13.85546875" style="53" customWidth="1"/>
    <col min="13816" max="14058" width="9.140625" style="53"/>
    <col min="14059" max="14059" width="1.7109375" style="53" customWidth="1"/>
    <col min="14060" max="14061" width="4.7109375" style="53" customWidth="1"/>
    <col min="14062" max="14062" width="54.140625" style="53" customWidth="1"/>
    <col min="14063" max="14063" width="52" style="53" customWidth="1"/>
    <col min="14064" max="14064" width="5.28515625" style="53" customWidth="1"/>
    <col min="14065" max="14065" width="5.85546875" style="53" bestFit="1" customWidth="1"/>
    <col min="14066" max="14066" width="16.42578125" style="53" customWidth="1"/>
    <col min="14067" max="14067" width="4.5703125" style="53" customWidth="1"/>
    <col min="14068" max="14068" width="14.140625" style="53" customWidth="1"/>
    <col min="14069" max="14069" width="27.140625" style="53" customWidth="1"/>
    <col min="14070" max="14070" width="16.28515625" style="53" customWidth="1"/>
    <col min="14071" max="14071" width="13.85546875" style="53" customWidth="1"/>
    <col min="14072" max="14314" width="9.140625" style="53"/>
    <col min="14315" max="14315" width="1.7109375" style="53" customWidth="1"/>
    <col min="14316" max="14317" width="4.7109375" style="53" customWidth="1"/>
    <col min="14318" max="14318" width="54.140625" style="53" customWidth="1"/>
    <col min="14319" max="14319" width="52" style="53" customWidth="1"/>
    <col min="14320" max="14320" width="5.28515625" style="53" customWidth="1"/>
    <col min="14321" max="14321" width="5.85546875" style="53" bestFit="1" customWidth="1"/>
    <col min="14322" max="14322" width="16.42578125" style="53" customWidth="1"/>
    <col min="14323" max="14323" width="4.5703125" style="53" customWidth="1"/>
    <col min="14324" max="14324" width="14.140625" style="53" customWidth="1"/>
    <col min="14325" max="14325" width="27.140625" style="53" customWidth="1"/>
    <col min="14326" max="14326" width="16.28515625" style="53" customWidth="1"/>
    <col min="14327" max="14327" width="13.85546875" style="53" customWidth="1"/>
    <col min="14328" max="14570" width="9.140625" style="53"/>
    <col min="14571" max="14571" width="1.7109375" style="53" customWidth="1"/>
    <col min="14572" max="14573" width="4.7109375" style="53" customWidth="1"/>
    <col min="14574" max="14574" width="54.140625" style="53" customWidth="1"/>
    <col min="14575" max="14575" width="52" style="53" customWidth="1"/>
    <col min="14576" max="14576" width="5.28515625" style="53" customWidth="1"/>
    <col min="14577" max="14577" width="5.85546875" style="53" bestFit="1" customWidth="1"/>
    <col min="14578" max="14578" width="16.42578125" style="53" customWidth="1"/>
    <col min="14579" max="14579" width="4.5703125" style="53" customWidth="1"/>
    <col min="14580" max="14580" width="14.140625" style="53" customWidth="1"/>
    <col min="14581" max="14581" width="27.140625" style="53" customWidth="1"/>
    <col min="14582" max="14582" width="16.28515625" style="53" customWidth="1"/>
    <col min="14583" max="14583" width="13.85546875" style="53" customWidth="1"/>
    <col min="14584" max="14826" width="9.140625" style="53"/>
    <col min="14827" max="14827" width="1.7109375" style="53" customWidth="1"/>
    <col min="14828" max="14829" width="4.7109375" style="53" customWidth="1"/>
    <col min="14830" max="14830" width="54.140625" style="53" customWidth="1"/>
    <col min="14831" max="14831" width="52" style="53" customWidth="1"/>
    <col min="14832" max="14832" width="5.28515625" style="53" customWidth="1"/>
    <col min="14833" max="14833" width="5.85546875" style="53" bestFit="1" customWidth="1"/>
    <col min="14834" max="14834" width="16.42578125" style="53" customWidth="1"/>
    <col min="14835" max="14835" width="4.5703125" style="53" customWidth="1"/>
    <col min="14836" max="14836" width="14.140625" style="53" customWidth="1"/>
    <col min="14837" max="14837" width="27.140625" style="53" customWidth="1"/>
    <col min="14838" max="14838" width="16.28515625" style="53" customWidth="1"/>
    <col min="14839" max="14839" width="13.85546875" style="53" customWidth="1"/>
    <col min="14840" max="15082" width="9.140625" style="53"/>
    <col min="15083" max="15083" width="1.7109375" style="53" customWidth="1"/>
    <col min="15084" max="15085" width="4.7109375" style="53" customWidth="1"/>
    <col min="15086" max="15086" width="54.140625" style="53" customWidth="1"/>
    <col min="15087" max="15087" width="52" style="53" customWidth="1"/>
    <col min="15088" max="15088" width="5.28515625" style="53" customWidth="1"/>
    <col min="15089" max="15089" width="5.85546875" style="53" bestFit="1" customWidth="1"/>
    <col min="15090" max="15090" width="16.42578125" style="53" customWidth="1"/>
    <col min="15091" max="15091" width="4.5703125" style="53" customWidth="1"/>
    <col min="15092" max="15092" width="14.140625" style="53" customWidth="1"/>
    <col min="15093" max="15093" width="27.140625" style="53" customWidth="1"/>
    <col min="15094" max="15094" width="16.28515625" style="53" customWidth="1"/>
    <col min="15095" max="15095" width="13.85546875" style="53" customWidth="1"/>
    <col min="15096" max="15338" width="9.140625" style="53"/>
    <col min="15339" max="15339" width="1.7109375" style="53" customWidth="1"/>
    <col min="15340" max="15341" width="4.7109375" style="53" customWidth="1"/>
    <col min="15342" max="15342" width="54.140625" style="53" customWidth="1"/>
    <col min="15343" max="15343" width="52" style="53" customWidth="1"/>
    <col min="15344" max="15344" width="5.28515625" style="53" customWidth="1"/>
    <col min="15345" max="15345" width="5.85546875" style="53" bestFit="1" customWidth="1"/>
    <col min="15346" max="15346" width="16.42578125" style="53" customWidth="1"/>
    <col min="15347" max="15347" width="4.5703125" style="53" customWidth="1"/>
    <col min="15348" max="15348" width="14.140625" style="53" customWidth="1"/>
    <col min="15349" max="15349" width="27.140625" style="53" customWidth="1"/>
    <col min="15350" max="15350" width="16.28515625" style="53" customWidth="1"/>
    <col min="15351" max="15351" width="13.85546875" style="53" customWidth="1"/>
    <col min="15352" max="15594" width="9.140625" style="53"/>
    <col min="15595" max="15595" width="1.7109375" style="53" customWidth="1"/>
    <col min="15596" max="15597" width="4.7109375" style="53" customWidth="1"/>
    <col min="15598" max="15598" width="54.140625" style="53" customWidth="1"/>
    <col min="15599" max="15599" width="52" style="53" customWidth="1"/>
    <col min="15600" max="15600" width="5.28515625" style="53" customWidth="1"/>
    <col min="15601" max="15601" width="5.85546875" style="53" bestFit="1" customWidth="1"/>
    <col min="15602" max="15602" width="16.42578125" style="53" customWidth="1"/>
    <col min="15603" max="15603" width="4.5703125" style="53" customWidth="1"/>
    <col min="15604" max="15604" width="14.140625" style="53" customWidth="1"/>
    <col min="15605" max="15605" width="27.140625" style="53" customWidth="1"/>
    <col min="15606" max="15606" width="16.28515625" style="53" customWidth="1"/>
    <col min="15607" max="15607" width="13.85546875" style="53" customWidth="1"/>
    <col min="15608" max="15850" width="9.140625" style="53"/>
    <col min="15851" max="15851" width="1.7109375" style="53" customWidth="1"/>
    <col min="15852" max="15853" width="4.7109375" style="53" customWidth="1"/>
    <col min="15854" max="15854" width="54.140625" style="53" customWidth="1"/>
    <col min="15855" max="15855" width="52" style="53" customWidth="1"/>
    <col min="15856" max="15856" width="5.28515625" style="53" customWidth="1"/>
    <col min="15857" max="15857" width="5.85546875" style="53" bestFit="1" customWidth="1"/>
    <col min="15858" max="15858" width="16.42578125" style="53" customWidth="1"/>
    <col min="15859" max="15859" width="4.5703125" style="53" customWidth="1"/>
    <col min="15860" max="15860" width="14.140625" style="53" customWidth="1"/>
    <col min="15861" max="15861" width="27.140625" style="53" customWidth="1"/>
    <col min="15862" max="15862" width="16.28515625" style="53" customWidth="1"/>
    <col min="15863" max="15863" width="13.85546875" style="53" customWidth="1"/>
    <col min="15864" max="16106" width="9.140625" style="53"/>
    <col min="16107" max="16107" width="1.7109375" style="53" customWidth="1"/>
    <col min="16108" max="16109" width="4.7109375" style="53" customWidth="1"/>
    <col min="16110" max="16110" width="54.140625" style="53" customWidth="1"/>
    <col min="16111" max="16111" width="52" style="53" customWidth="1"/>
    <col min="16112" max="16112" width="5.28515625" style="53" customWidth="1"/>
    <col min="16113" max="16113" width="5.85546875" style="53" bestFit="1" customWidth="1"/>
    <col min="16114" max="16114" width="16.42578125" style="53" customWidth="1"/>
    <col min="16115" max="16115" width="4.5703125" style="53" customWidth="1"/>
    <col min="16116" max="16116" width="14.140625" style="53" customWidth="1"/>
    <col min="16117" max="16117" width="27.140625" style="53" customWidth="1"/>
    <col min="16118" max="16118" width="16.28515625" style="53" customWidth="1"/>
    <col min="16119" max="16119" width="13.85546875" style="53" customWidth="1"/>
    <col min="16120" max="16384" width="9.140625" style="53"/>
  </cols>
  <sheetData>
    <row r="2" spans="2:19" s="5" customFormat="1" ht="15.75" hidden="1" x14ac:dyDescent="0.25">
      <c r="B2" s="2"/>
      <c r="C2" s="1645" t="s">
        <v>431</v>
      </c>
      <c r="D2" s="1645"/>
      <c r="E2" s="1645"/>
      <c r="F2" s="1645"/>
      <c r="G2" s="1645"/>
      <c r="H2" s="1645"/>
      <c r="I2" s="1645"/>
      <c r="J2" s="1645"/>
      <c r="K2" s="1645"/>
      <c r="L2" s="971"/>
      <c r="M2" s="971"/>
      <c r="N2" s="451"/>
      <c r="O2" s="451"/>
      <c r="P2" s="3"/>
    </row>
    <row r="3" spans="2:19" s="5" customFormat="1" ht="13.5" customHeight="1" x14ac:dyDescent="0.25">
      <c r="B3" s="2"/>
      <c r="C3" s="1646" t="s">
        <v>0</v>
      </c>
      <c r="D3" s="1646"/>
      <c r="E3" s="1646"/>
      <c r="F3" s="1646"/>
      <c r="G3" s="1646"/>
      <c r="H3" s="1646"/>
      <c r="I3" s="1646"/>
      <c r="J3" s="1646"/>
      <c r="K3" s="1646"/>
      <c r="L3" s="1646"/>
      <c r="M3" s="1646"/>
      <c r="N3" s="1646"/>
      <c r="O3" s="482"/>
      <c r="P3" s="481"/>
    </row>
    <row r="4" spans="2:19" s="4" customFormat="1" ht="14.25" customHeight="1" x14ac:dyDescent="0.25">
      <c r="B4" s="2"/>
      <c r="C4" s="1646" t="s">
        <v>1</v>
      </c>
      <c r="D4" s="1646"/>
      <c r="E4" s="1646"/>
      <c r="F4" s="1646"/>
      <c r="G4" s="1646"/>
      <c r="H4" s="1646"/>
      <c r="I4" s="1646"/>
      <c r="J4" s="1646"/>
      <c r="K4" s="1646"/>
      <c r="L4" s="1646"/>
      <c r="M4" s="1646"/>
      <c r="N4" s="1646"/>
      <c r="O4" s="482"/>
      <c r="P4" s="481"/>
    </row>
    <row r="5" spans="2:19" s="4" customFormat="1" ht="15.75" x14ac:dyDescent="0.25">
      <c r="B5" s="2"/>
      <c r="C5" s="452"/>
      <c r="D5" s="453"/>
      <c r="E5" s="453"/>
      <c r="F5" s="453"/>
      <c r="G5" s="454"/>
      <c r="H5" s="455"/>
      <c r="I5" s="456"/>
      <c r="J5" s="457"/>
      <c r="K5" s="457"/>
      <c r="L5" s="457"/>
      <c r="M5" s="457"/>
      <c r="N5" s="458"/>
      <c r="O5" s="456"/>
      <c r="P5" s="484"/>
    </row>
    <row r="6" spans="2:19" s="4" customFormat="1" ht="18" customHeight="1" x14ac:dyDescent="0.25">
      <c r="B6" s="2"/>
      <c r="C6" s="1647" t="s">
        <v>2</v>
      </c>
      <c r="D6" s="1647"/>
      <c r="E6" s="1505" t="s">
        <v>3</v>
      </c>
      <c r="F6" s="1505"/>
      <c r="G6" s="1505"/>
      <c r="H6" s="459"/>
      <c r="I6" s="456"/>
      <c r="J6" s="457"/>
      <c r="K6" s="457"/>
      <c r="L6" s="457"/>
      <c r="M6" s="457"/>
      <c r="N6" s="458"/>
      <c r="O6" s="456"/>
      <c r="P6" s="484"/>
    </row>
    <row r="7" spans="2:19" s="4" customFormat="1" ht="8.25" customHeight="1" thickBot="1" x14ac:dyDescent="0.3">
      <c r="B7" s="2"/>
      <c r="C7" s="6"/>
      <c r="D7" s="8"/>
      <c r="E7" s="8"/>
      <c r="F7" s="8"/>
      <c r="G7" s="9"/>
      <c r="H7" s="10"/>
      <c r="I7" s="11"/>
      <c r="J7" s="12"/>
      <c r="K7" s="12"/>
      <c r="L7" s="12"/>
      <c r="M7" s="12"/>
      <c r="N7" s="7"/>
      <c r="O7" s="11"/>
      <c r="P7" s="484"/>
    </row>
    <row r="8" spans="2:19" s="15" customFormat="1" ht="32.25" customHeight="1" thickTop="1" x14ac:dyDescent="0.25">
      <c r="B8" s="13"/>
      <c r="C8" s="1648" t="s">
        <v>433</v>
      </c>
      <c r="D8" s="1649"/>
      <c r="E8" s="1650"/>
      <c r="F8" s="1654" t="s">
        <v>418</v>
      </c>
      <c r="G8" s="1650"/>
      <c r="H8" s="1656" t="s">
        <v>417</v>
      </c>
      <c r="I8" s="1658" t="s">
        <v>419</v>
      </c>
      <c r="J8" s="1662" t="s">
        <v>502</v>
      </c>
      <c r="K8" s="1660" t="s">
        <v>488</v>
      </c>
      <c r="L8" s="973" t="s">
        <v>509</v>
      </c>
      <c r="M8" s="987"/>
      <c r="N8" s="14"/>
      <c r="O8" s="1643" t="s">
        <v>469</v>
      </c>
      <c r="P8" s="441" t="s">
        <v>426</v>
      </c>
      <c r="Q8" s="16"/>
    </row>
    <row r="9" spans="2:19" s="15" customFormat="1" x14ac:dyDescent="0.25">
      <c r="B9" s="13"/>
      <c r="C9" s="1651"/>
      <c r="D9" s="1652"/>
      <c r="E9" s="1653"/>
      <c r="F9" s="1655"/>
      <c r="G9" s="1653"/>
      <c r="H9" s="1657"/>
      <c r="I9" s="1659"/>
      <c r="J9" s="1663"/>
      <c r="K9" s="1661"/>
      <c r="L9" s="974"/>
      <c r="M9" s="987"/>
      <c r="N9" s="14"/>
      <c r="O9" s="1644"/>
      <c r="P9" s="14"/>
      <c r="S9" s="17"/>
    </row>
    <row r="10" spans="2:19" s="15" customFormat="1" ht="19.5" customHeight="1" x14ac:dyDescent="0.25">
      <c r="B10" s="13"/>
      <c r="C10" s="1632">
        <v>1</v>
      </c>
      <c r="D10" s="1633"/>
      <c r="E10" s="1634"/>
      <c r="F10" s="1635">
        <v>2</v>
      </c>
      <c r="G10" s="1636"/>
      <c r="H10" s="18">
        <v>3</v>
      </c>
      <c r="I10" s="18">
        <v>4</v>
      </c>
      <c r="J10" s="607">
        <v>5</v>
      </c>
      <c r="K10" s="859">
        <v>5</v>
      </c>
      <c r="L10" s="988"/>
      <c r="M10" s="988"/>
      <c r="N10" s="20"/>
      <c r="O10" s="507"/>
      <c r="P10" s="20"/>
      <c r="Q10" s="21">
        <v>307965438271</v>
      </c>
      <c r="S10" s="17"/>
    </row>
    <row r="11" spans="2:19" s="29" customFormat="1" ht="29.25" customHeight="1" x14ac:dyDescent="0.25">
      <c r="B11" s="13"/>
      <c r="C11" s="22"/>
      <c r="D11" s="1635" t="s">
        <v>4</v>
      </c>
      <c r="E11" s="1637"/>
      <c r="F11" s="1637"/>
      <c r="G11" s="1636"/>
      <c r="H11" s="23"/>
      <c r="I11" s="24"/>
      <c r="J11" s="608">
        <f>J12+J52</f>
        <v>307965438271</v>
      </c>
      <c r="K11" s="25">
        <f>K12+K52</f>
        <v>307965438271</v>
      </c>
      <c r="L11" s="989"/>
      <c r="M11" s="989"/>
      <c r="N11" s="26"/>
      <c r="O11" s="508"/>
      <c r="P11" s="485">
        <f>SUM(P12:P261)</f>
        <v>19915000000</v>
      </c>
      <c r="Q11" s="27">
        <f>Q10-K11</f>
        <v>0</v>
      </c>
      <c r="R11" s="28"/>
    </row>
    <row r="12" spans="2:19" s="15" customFormat="1" ht="30" customHeight="1" x14ac:dyDescent="0.25">
      <c r="B12" s="13"/>
      <c r="C12" s="30"/>
      <c r="D12" s="1638"/>
      <c r="E12" s="1638"/>
      <c r="F12" s="1638"/>
      <c r="G12" s="1638"/>
      <c r="H12" s="1638"/>
      <c r="I12" s="1639"/>
      <c r="J12" s="609">
        <f>J13+J24+J40+J43+J46</f>
        <v>11438515300</v>
      </c>
      <c r="K12" s="31">
        <f>K13+K24+K40+K43+K46</f>
        <v>11438515300</v>
      </c>
      <c r="L12" s="990"/>
      <c r="M12" s="990"/>
      <c r="N12" s="32"/>
      <c r="O12" s="509"/>
      <c r="P12" s="486"/>
      <c r="Q12" s="33"/>
      <c r="R12" s="17"/>
    </row>
    <row r="13" spans="2:19" s="15" customFormat="1" ht="21" customHeight="1" x14ac:dyDescent="0.25">
      <c r="B13" s="13"/>
      <c r="C13" s="34" t="s">
        <v>432</v>
      </c>
      <c r="D13" s="1640" t="s">
        <v>6</v>
      </c>
      <c r="E13" s="1641"/>
      <c r="F13" s="1641"/>
      <c r="G13" s="1642"/>
      <c r="H13" s="35" t="s">
        <v>7</v>
      </c>
      <c r="I13" s="36"/>
      <c r="J13" s="610">
        <f>J20+J15+J16+J17+J18+J21+J22+J14+J19</f>
        <v>5166573300</v>
      </c>
      <c r="K13" s="37">
        <f>K20+K15+K16+K17+K18+K21+K22+K14+K19</f>
        <v>5166573300</v>
      </c>
      <c r="L13" s="991"/>
      <c r="M13" s="991"/>
      <c r="N13" s="38"/>
      <c r="O13" s="510"/>
      <c r="P13" s="487"/>
    </row>
    <row r="14" spans="2:19" s="62" customFormat="1" ht="27.75" customHeight="1" x14ac:dyDescent="0.25">
      <c r="B14" s="59"/>
      <c r="C14" s="39"/>
      <c r="D14" s="140" t="s">
        <v>5</v>
      </c>
      <c r="E14" s="1623" t="s">
        <v>9</v>
      </c>
      <c r="F14" s="1624"/>
      <c r="G14" s="1625"/>
      <c r="H14" s="745" t="s">
        <v>497</v>
      </c>
      <c r="I14" s="746">
        <v>1</v>
      </c>
      <c r="J14" s="611">
        <v>755192500</v>
      </c>
      <c r="K14" s="43">
        <f>755192500</f>
        <v>755192500</v>
      </c>
      <c r="L14" s="44"/>
      <c r="M14" s="44"/>
      <c r="N14" s="44"/>
      <c r="O14" s="747"/>
      <c r="P14" s="488"/>
    </row>
    <row r="15" spans="2:19" s="62" customFormat="1" ht="26.25" customHeight="1" x14ac:dyDescent="0.25">
      <c r="B15" s="59"/>
      <c r="C15" s="39"/>
      <c r="D15" s="79" t="s">
        <v>10</v>
      </c>
      <c r="E15" s="1623" t="s">
        <v>11</v>
      </c>
      <c r="F15" s="1624"/>
      <c r="G15" s="1625"/>
      <c r="H15" s="837" t="s">
        <v>12</v>
      </c>
      <c r="I15" s="746">
        <v>1</v>
      </c>
      <c r="J15" s="612">
        <v>1921800000</v>
      </c>
      <c r="K15" s="47">
        <v>1921800000</v>
      </c>
      <c r="L15" s="44"/>
      <c r="M15" s="44"/>
      <c r="N15" s="44"/>
      <c r="O15" s="747"/>
      <c r="P15" s="488"/>
    </row>
    <row r="16" spans="2:19" s="62" customFormat="1" ht="26.25" customHeight="1" x14ac:dyDescent="0.25">
      <c r="B16" s="59"/>
      <c r="C16" s="39"/>
      <c r="D16" s="140" t="s">
        <v>13</v>
      </c>
      <c r="E16" s="1623" t="s">
        <v>14</v>
      </c>
      <c r="F16" s="1624"/>
      <c r="G16" s="1625"/>
      <c r="H16" s="837" t="s">
        <v>15</v>
      </c>
      <c r="I16" s="746">
        <v>1</v>
      </c>
      <c r="J16" s="612">
        <f>1968500000-21419200</f>
        <v>1947080800</v>
      </c>
      <c r="K16" s="47">
        <f>1968500000-21419200</f>
        <v>1947080800</v>
      </c>
      <c r="L16" s="44"/>
      <c r="M16" s="44"/>
      <c r="N16" s="44"/>
      <c r="O16" s="747"/>
      <c r="P16" s="488"/>
    </row>
    <row r="17" spans="2:17" s="62" customFormat="1" ht="20.25" customHeight="1" x14ac:dyDescent="0.25">
      <c r="B17" s="59"/>
      <c r="C17" s="39"/>
      <c r="D17" s="140" t="s">
        <v>16</v>
      </c>
      <c r="E17" s="1623" t="s">
        <v>17</v>
      </c>
      <c r="F17" s="1624"/>
      <c r="G17" s="1625"/>
      <c r="H17" s="837" t="s">
        <v>18</v>
      </c>
      <c r="I17" s="746">
        <v>1</v>
      </c>
      <c r="J17" s="612">
        <v>200000000</v>
      </c>
      <c r="K17" s="47">
        <v>200000000</v>
      </c>
      <c r="L17" s="44"/>
      <c r="M17" s="44"/>
      <c r="N17" s="44"/>
      <c r="O17" s="747"/>
      <c r="P17" s="488"/>
    </row>
    <row r="18" spans="2:17" s="62" customFormat="1" ht="20.25" customHeight="1" x14ac:dyDescent="0.25">
      <c r="B18" s="59"/>
      <c r="C18" s="39"/>
      <c r="D18" s="140" t="s">
        <v>19</v>
      </c>
      <c r="E18" s="1623" t="s">
        <v>20</v>
      </c>
      <c r="F18" s="1624"/>
      <c r="G18" s="1625"/>
      <c r="H18" s="837" t="s">
        <v>21</v>
      </c>
      <c r="I18" s="746">
        <v>1</v>
      </c>
      <c r="J18" s="612">
        <f>238307500-65807500</f>
        <v>172500000</v>
      </c>
      <c r="K18" s="47">
        <f>238307500-65807500</f>
        <v>172500000</v>
      </c>
      <c r="L18" s="44"/>
      <c r="M18" s="44"/>
      <c r="N18" s="44"/>
      <c r="O18" s="747"/>
      <c r="P18" s="488"/>
    </row>
    <row r="19" spans="2:17" s="62" customFormat="1" ht="28.5" customHeight="1" x14ac:dyDescent="0.25">
      <c r="B19" s="59"/>
      <c r="C19" s="39"/>
      <c r="D19" s="140" t="s">
        <v>27</v>
      </c>
      <c r="E19" s="1629" t="s">
        <v>23</v>
      </c>
      <c r="F19" s="1630"/>
      <c r="G19" s="1631"/>
      <c r="H19" s="843" t="s">
        <v>24</v>
      </c>
      <c r="I19" s="746">
        <v>1</v>
      </c>
      <c r="J19" s="612">
        <v>100000000</v>
      </c>
      <c r="K19" s="47">
        <v>100000000</v>
      </c>
      <c r="L19" s="44"/>
      <c r="M19" s="44"/>
      <c r="N19" s="44"/>
      <c r="O19" s="747"/>
      <c r="P19" s="488"/>
    </row>
    <row r="20" spans="2:17" s="62" customFormat="1" ht="44.25" customHeight="1" x14ac:dyDescent="0.25">
      <c r="B20" s="59"/>
      <c r="C20" s="49"/>
      <c r="D20" s="79" t="s">
        <v>30</v>
      </c>
      <c r="E20" s="1623" t="s">
        <v>25</v>
      </c>
      <c r="F20" s="1624"/>
      <c r="G20" s="1625"/>
      <c r="H20" s="80" t="s">
        <v>26</v>
      </c>
      <c r="I20" s="81">
        <v>1</v>
      </c>
      <c r="J20" s="613">
        <v>10000000</v>
      </c>
      <c r="K20" s="52">
        <v>10000000</v>
      </c>
      <c r="L20" s="44"/>
      <c r="M20" s="44"/>
      <c r="N20" s="44"/>
      <c r="O20" s="844"/>
      <c r="P20" s="488"/>
    </row>
    <row r="21" spans="2:17" s="62" customFormat="1" ht="27" customHeight="1" x14ac:dyDescent="0.25">
      <c r="B21" s="59"/>
      <c r="C21" s="39"/>
      <c r="D21" s="140" t="s">
        <v>8</v>
      </c>
      <c r="E21" s="1623" t="s">
        <v>28</v>
      </c>
      <c r="F21" s="1624"/>
      <c r="G21" s="1625"/>
      <c r="H21" s="837" t="s">
        <v>29</v>
      </c>
      <c r="I21" s="746">
        <v>1</v>
      </c>
      <c r="J21" s="612">
        <f>40000000-10000000</f>
        <v>30000000</v>
      </c>
      <c r="K21" s="47">
        <f>40000000-10000000</f>
        <v>30000000</v>
      </c>
      <c r="L21" s="44"/>
      <c r="M21" s="44"/>
      <c r="N21" s="44"/>
      <c r="O21" s="747"/>
      <c r="P21" s="488"/>
    </row>
    <row r="22" spans="2:17" s="62" customFormat="1" ht="27" customHeight="1" x14ac:dyDescent="0.25">
      <c r="B22" s="59"/>
      <c r="C22" s="39"/>
      <c r="D22" s="140" t="s">
        <v>22</v>
      </c>
      <c r="E22" s="1623" t="s">
        <v>31</v>
      </c>
      <c r="F22" s="1624"/>
      <c r="G22" s="1625"/>
      <c r="H22" s="837" t="s">
        <v>32</v>
      </c>
      <c r="I22" s="746">
        <v>1</v>
      </c>
      <c r="J22" s="612">
        <f>30000000</f>
        <v>30000000</v>
      </c>
      <c r="K22" s="47">
        <f>30000000</f>
        <v>30000000</v>
      </c>
      <c r="L22" s="44"/>
      <c r="M22" s="44"/>
      <c r="N22" s="44"/>
      <c r="O22" s="747"/>
      <c r="P22" s="488"/>
    </row>
    <row r="23" spans="2:17" s="62" customFormat="1" ht="3.75" customHeight="1" x14ac:dyDescent="0.25">
      <c r="B23" s="59"/>
      <c r="C23" s="766"/>
      <c r="D23" s="759"/>
      <c r="E23" s="845"/>
      <c r="F23" s="1611"/>
      <c r="G23" s="1612"/>
      <c r="H23" s="846"/>
      <c r="I23" s="847"/>
      <c r="J23" s="611"/>
      <c r="K23" s="43"/>
      <c r="L23" s="44"/>
      <c r="M23" s="44"/>
      <c r="N23" s="44"/>
      <c r="O23" s="848"/>
      <c r="P23" s="488"/>
    </row>
    <row r="24" spans="2:17" s="62" customFormat="1" ht="26.25" customHeight="1" x14ac:dyDescent="0.25">
      <c r="B24" s="59"/>
      <c r="C24" s="849" t="s">
        <v>434</v>
      </c>
      <c r="D24" s="1626" t="s">
        <v>35</v>
      </c>
      <c r="E24" s="1627"/>
      <c r="F24" s="1627"/>
      <c r="G24" s="1628"/>
      <c r="H24" s="721" t="s">
        <v>36</v>
      </c>
      <c r="I24" s="850"/>
      <c r="J24" s="722">
        <f>J25+J26+J27+J28+J29+J33+J36+J37+J38</f>
        <v>4220250000</v>
      </c>
      <c r="K24" s="723">
        <f>K25+K26+K27+K28+K29+K33+K36+K37+K38</f>
        <v>4220250000</v>
      </c>
      <c r="L24" s="38"/>
      <c r="M24" s="38"/>
      <c r="N24" s="38"/>
      <c r="O24" s="724"/>
      <c r="P24" s="487"/>
    </row>
    <row r="25" spans="2:17" s="62" customFormat="1" ht="21" customHeight="1" x14ac:dyDescent="0.25">
      <c r="B25" s="59"/>
      <c r="C25" s="39"/>
      <c r="D25" s="140" t="s">
        <v>5</v>
      </c>
      <c r="E25" s="1529" t="s">
        <v>37</v>
      </c>
      <c r="F25" s="1622"/>
      <c r="G25" s="1530"/>
      <c r="H25" s="680" t="s">
        <v>38</v>
      </c>
      <c r="I25" s="746">
        <v>1</v>
      </c>
      <c r="J25" s="611">
        <v>350000000</v>
      </c>
      <c r="K25" s="43">
        <v>350000000</v>
      </c>
      <c r="L25" s="44"/>
      <c r="M25" s="44"/>
      <c r="N25" s="44"/>
      <c r="O25" s="747"/>
      <c r="P25" s="488"/>
    </row>
    <row r="26" spans="2:17" s="62" customFormat="1" ht="21" customHeight="1" x14ac:dyDescent="0.25">
      <c r="B26" s="59"/>
      <c r="C26" s="39"/>
      <c r="D26" s="140" t="s">
        <v>10</v>
      </c>
      <c r="E26" s="1529" t="s">
        <v>485</v>
      </c>
      <c r="F26" s="1622"/>
      <c r="G26" s="1530"/>
      <c r="H26" s="680" t="s">
        <v>39</v>
      </c>
      <c r="I26" s="746">
        <v>1</v>
      </c>
      <c r="J26" s="611">
        <v>452890000</v>
      </c>
      <c r="K26" s="43">
        <f>452890000</f>
        <v>452890000</v>
      </c>
      <c r="L26" s="44"/>
      <c r="M26" s="44"/>
      <c r="N26" s="44"/>
      <c r="O26" s="747"/>
      <c r="P26" s="488"/>
    </row>
    <row r="27" spans="2:17" s="62" customFormat="1" ht="21" customHeight="1" x14ac:dyDescent="0.25">
      <c r="B27" s="59"/>
      <c r="C27" s="39"/>
      <c r="D27" s="140" t="s">
        <v>13</v>
      </c>
      <c r="E27" s="1529" t="s">
        <v>40</v>
      </c>
      <c r="F27" s="1622"/>
      <c r="G27" s="1530"/>
      <c r="H27" s="680" t="s">
        <v>41</v>
      </c>
      <c r="I27" s="746">
        <v>1</v>
      </c>
      <c r="J27" s="612">
        <f>600000000</f>
        <v>600000000</v>
      </c>
      <c r="K27" s="47">
        <f>600000000</f>
        <v>600000000</v>
      </c>
      <c r="L27" s="44"/>
      <c r="M27" s="44"/>
      <c r="N27" s="44"/>
      <c r="O27" s="747"/>
      <c r="P27" s="488"/>
    </row>
    <row r="28" spans="2:17" s="62" customFormat="1" ht="31.5" customHeight="1" x14ac:dyDescent="0.25">
      <c r="B28" s="59"/>
      <c r="C28" s="766"/>
      <c r="D28" s="759" t="s">
        <v>16</v>
      </c>
      <c r="E28" s="1529" t="s">
        <v>42</v>
      </c>
      <c r="F28" s="1622"/>
      <c r="G28" s="1530"/>
      <c r="H28" s="680" t="s">
        <v>43</v>
      </c>
      <c r="I28" s="746">
        <v>1</v>
      </c>
      <c r="J28" s="611">
        <v>243360000</v>
      </c>
      <c r="K28" s="43">
        <v>243360000</v>
      </c>
      <c r="L28" s="44"/>
      <c r="M28" s="44"/>
      <c r="N28" s="44"/>
      <c r="O28" s="747"/>
      <c r="P28" s="488"/>
    </row>
    <row r="29" spans="2:17" s="62" customFormat="1" ht="31.5" customHeight="1" x14ac:dyDescent="0.25">
      <c r="B29" s="59"/>
      <c r="C29" s="39"/>
      <c r="D29" s="140" t="s">
        <v>19</v>
      </c>
      <c r="E29" s="1618" t="s">
        <v>44</v>
      </c>
      <c r="F29" s="1619"/>
      <c r="G29" s="1620"/>
      <c r="H29" s="748" t="s">
        <v>45</v>
      </c>
      <c r="I29" s="746">
        <v>1</v>
      </c>
      <c r="J29" s="660">
        <f>SUM(J30:J32)</f>
        <v>210000000</v>
      </c>
      <c r="K29" s="60">
        <f>SUM(K30:K32)</f>
        <v>210000000</v>
      </c>
      <c r="L29" s="61"/>
      <c r="M29" s="61"/>
      <c r="N29" s="61"/>
      <c r="O29" s="747"/>
      <c r="P29" s="489"/>
      <c r="Q29" s="63"/>
    </row>
    <row r="30" spans="2:17" s="62" customFormat="1" ht="26.25" customHeight="1" x14ac:dyDescent="0.25">
      <c r="B30" s="59"/>
      <c r="C30" s="39"/>
      <c r="D30" s="140"/>
      <c r="E30" s="838" t="s">
        <v>46</v>
      </c>
      <c r="F30" s="1616" t="s">
        <v>47</v>
      </c>
      <c r="G30" s="1617"/>
      <c r="H30" s="839" t="s">
        <v>48</v>
      </c>
      <c r="I30" s="137"/>
      <c r="J30" s="616">
        <v>200000000</v>
      </c>
      <c r="K30" s="66">
        <v>200000000</v>
      </c>
      <c r="L30" s="67"/>
      <c r="M30" s="67"/>
      <c r="N30" s="67"/>
      <c r="O30" s="519"/>
      <c r="P30" s="490"/>
      <c r="Q30" s="63"/>
    </row>
    <row r="31" spans="2:17" s="62" customFormat="1" ht="25.5" customHeight="1" x14ac:dyDescent="0.25">
      <c r="B31" s="59"/>
      <c r="C31" s="39"/>
      <c r="D31" s="140"/>
      <c r="E31" s="838" t="s">
        <v>46</v>
      </c>
      <c r="F31" s="1616" t="s">
        <v>49</v>
      </c>
      <c r="G31" s="1617"/>
      <c r="H31" s="839" t="s">
        <v>50</v>
      </c>
      <c r="I31" s="137"/>
      <c r="J31" s="616">
        <v>10000000</v>
      </c>
      <c r="K31" s="66">
        <v>10000000</v>
      </c>
      <c r="L31" s="67"/>
      <c r="M31" s="67"/>
      <c r="N31" s="67"/>
      <c r="O31" s="519"/>
      <c r="P31" s="490"/>
      <c r="Q31" s="63"/>
    </row>
    <row r="32" spans="2:17" s="62" customFormat="1" ht="14.25" hidden="1" customHeight="1" x14ac:dyDescent="0.25">
      <c r="B32" s="59"/>
      <c r="C32" s="39"/>
      <c r="D32" s="140"/>
      <c r="E32" s="838" t="s">
        <v>46</v>
      </c>
      <c r="F32" s="1616" t="s">
        <v>482</v>
      </c>
      <c r="G32" s="1617"/>
      <c r="H32" s="839" t="s">
        <v>483</v>
      </c>
      <c r="I32" s="137"/>
      <c r="J32" s="616"/>
      <c r="K32" s="66"/>
      <c r="L32" s="67"/>
      <c r="M32" s="67"/>
      <c r="N32" s="67"/>
      <c r="O32" s="519"/>
      <c r="P32" s="490"/>
      <c r="Q32" s="63"/>
    </row>
    <row r="33" spans="2:17" s="62" customFormat="1" ht="26.25" customHeight="1" x14ac:dyDescent="0.25">
      <c r="B33" s="59"/>
      <c r="C33" s="39"/>
      <c r="D33" s="140" t="s">
        <v>27</v>
      </c>
      <c r="E33" s="1618" t="s">
        <v>51</v>
      </c>
      <c r="F33" s="1619"/>
      <c r="G33" s="1620"/>
      <c r="H33" s="840" t="s">
        <v>53</v>
      </c>
      <c r="I33" s="746">
        <v>1</v>
      </c>
      <c r="J33" s="617">
        <f>SUM(J34:J35)</f>
        <v>950000000</v>
      </c>
      <c r="K33" s="71">
        <f>SUM(K34:K35)</f>
        <v>950000000</v>
      </c>
      <c r="L33" s="61"/>
      <c r="M33" s="61"/>
      <c r="N33" s="61"/>
      <c r="O33" s="747"/>
      <c r="P33" s="489"/>
      <c r="Q33" s="63"/>
    </row>
    <row r="34" spans="2:17" s="62" customFormat="1" ht="27.75" customHeight="1" x14ac:dyDescent="0.25">
      <c r="B34" s="59"/>
      <c r="C34" s="39"/>
      <c r="D34" s="140"/>
      <c r="E34" s="838" t="s">
        <v>46</v>
      </c>
      <c r="F34" s="1616" t="s">
        <v>52</v>
      </c>
      <c r="G34" s="1617"/>
      <c r="H34" s="839" t="s">
        <v>53</v>
      </c>
      <c r="I34" s="841"/>
      <c r="J34" s="618">
        <v>915000000</v>
      </c>
      <c r="K34" s="73">
        <v>915000000</v>
      </c>
      <c r="L34" s="67"/>
      <c r="M34" s="67"/>
      <c r="N34" s="67"/>
      <c r="O34" s="842"/>
      <c r="P34" s="490"/>
      <c r="Q34" s="63"/>
    </row>
    <row r="35" spans="2:17" s="62" customFormat="1" ht="27" customHeight="1" x14ac:dyDescent="0.25">
      <c r="B35" s="59"/>
      <c r="C35" s="39"/>
      <c r="D35" s="140"/>
      <c r="E35" s="838" t="s">
        <v>46</v>
      </c>
      <c r="F35" s="1616" t="s">
        <v>54</v>
      </c>
      <c r="G35" s="1617"/>
      <c r="H35" s="839" t="s">
        <v>55</v>
      </c>
      <c r="I35" s="137"/>
      <c r="J35" s="618">
        <v>35000000</v>
      </c>
      <c r="K35" s="73">
        <v>35000000</v>
      </c>
      <c r="L35" s="67"/>
      <c r="M35" s="67"/>
      <c r="N35" s="67"/>
      <c r="O35" s="519"/>
      <c r="P35" s="490"/>
      <c r="Q35" s="63"/>
    </row>
    <row r="36" spans="2:17" s="62" customFormat="1" ht="26.25" customHeight="1" x14ac:dyDescent="0.25">
      <c r="B36" s="59"/>
      <c r="C36" s="39"/>
      <c r="D36" s="140" t="s">
        <v>30</v>
      </c>
      <c r="E36" s="1621" t="s">
        <v>56</v>
      </c>
      <c r="F36" s="1621"/>
      <c r="G36" s="1621"/>
      <c r="H36" s="74" t="s">
        <v>57</v>
      </c>
      <c r="I36" s="746">
        <v>1</v>
      </c>
      <c r="J36" s="612">
        <v>150000000</v>
      </c>
      <c r="K36" s="47">
        <v>150000000</v>
      </c>
      <c r="L36" s="44"/>
      <c r="M36" s="44"/>
      <c r="N36" s="44"/>
      <c r="O36" s="747"/>
      <c r="P36" s="488"/>
    </row>
    <row r="37" spans="2:17" s="62" customFormat="1" ht="21" customHeight="1" x14ac:dyDescent="0.25">
      <c r="B37" s="59"/>
      <c r="C37" s="39"/>
      <c r="D37" s="140" t="s">
        <v>8</v>
      </c>
      <c r="E37" s="1621" t="s">
        <v>58</v>
      </c>
      <c r="F37" s="1621"/>
      <c r="G37" s="1621"/>
      <c r="H37" s="680" t="s">
        <v>34</v>
      </c>
      <c r="I37" s="746">
        <v>1</v>
      </c>
      <c r="J37" s="612">
        <v>164000000</v>
      </c>
      <c r="K37" s="47">
        <v>164000000</v>
      </c>
      <c r="L37" s="44"/>
      <c r="M37" s="44"/>
      <c r="N37" s="44"/>
      <c r="O37" s="747"/>
      <c r="P37" s="488"/>
    </row>
    <row r="38" spans="2:17" s="229" customFormat="1" ht="26.25" customHeight="1" x14ac:dyDescent="0.25">
      <c r="B38" s="59"/>
      <c r="C38" s="39"/>
      <c r="D38" s="140" t="s">
        <v>22</v>
      </c>
      <c r="E38" s="1608" t="s">
        <v>33</v>
      </c>
      <c r="F38" s="1609"/>
      <c r="G38" s="1610"/>
      <c r="H38" s="811" t="s">
        <v>498</v>
      </c>
      <c r="I38" s="81">
        <v>1</v>
      </c>
      <c r="J38" s="613">
        <f>200000000+900000000</f>
        <v>1100000000</v>
      </c>
      <c r="K38" s="52">
        <f>200000000+900000000</f>
        <v>1100000000</v>
      </c>
      <c r="L38" s="44"/>
      <c r="M38" s="44"/>
      <c r="N38" s="44"/>
      <c r="O38" s="549"/>
      <c r="P38" s="488"/>
    </row>
    <row r="39" spans="2:17" s="62" customFormat="1" ht="3.75" customHeight="1" x14ac:dyDescent="0.25">
      <c r="B39" s="59"/>
      <c r="C39" s="766"/>
      <c r="D39" s="759"/>
      <c r="E39" s="851"/>
      <c r="F39" s="1611"/>
      <c r="G39" s="1612"/>
      <c r="H39" s="846"/>
      <c r="I39" s="847"/>
      <c r="J39" s="611"/>
      <c r="K39" s="43"/>
      <c r="L39" s="44"/>
      <c r="M39" s="44"/>
      <c r="N39" s="44"/>
      <c r="O39" s="852"/>
      <c r="P39" s="488"/>
    </row>
    <row r="40" spans="2:17" s="15" customFormat="1" ht="23.25" customHeight="1" x14ac:dyDescent="0.25">
      <c r="B40" s="13"/>
      <c r="C40" s="34" t="s">
        <v>435</v>
      </c>
      <c r="D40" s="1599" t="s">
        <v>59</v>
      </c>
      <c r="E40" s="1600"/>
      <c r="F40" s="1600"/>
      <c r="G40" s="1601"/>
      <c r="H40" s="35" t="s">
        <v>60</v>
      </c>
      <c r="I40" s="36"/>
      <c r="J40" s="610">
        <f>SUM(J41)</f>
        <v>329692000</v>
      </c>
      <c r="K40" s="37">
        <f>SUM(K41)</f>
        <v>329692000</v>
      </c>
      <c r="L40" s="991"/>
      <c r="M40" s="991"/>
      <c r="N40" s="38"/>
      <c r="O40" s="547"/>
      <c r="P40" s="487"/>
    </row>
    <row r="41" spans="2:17" s="29" customFormat="1" ht="19.5" customHeight="1" x14ac:dyDescent="0.25">
      <c r="B41" s="13"/>
      <c r="C41" s="76"/>
      <c r="D41" s="77" t="s">
        <v>5</v>
      </c>
      <c r="E41" s="1602" t="s">
        <v>61</v>
      </c>
      <c r="F41" s="1603"/>
      <c r="G41" s="1604"/>
      <c r="H41" s="50" t="s">
        <v>62</v>
      </c>
      <c r="I41" s="51">
        <v>1</v>
      </c>
      <c r="J41" s="613">
        <f>347700000-18008000</f>
        <v>329692000</v>
      </c>
      <c r="K41" s="52">
        <f>347700000-18008000</f>
        <v>329692000</v>
      </c>
      <c r="L41" s="44"/>
      <c r="M41" s="44"/>
      <c r="N41" s="44"/>
      <c r="O41" s="545"/>
      <c r="P41" s="488"/>
    </row>
    <row r="42" spans="2:17" s="29" customFormat="1" ht="3.75" customHeight="1" x14ac:dyDescent="0.25">
      <c r="B42" s="13"/>
      <c r="C42" s="91"/>
      <c r="D42" s="92"/>
      <c r="E42" s="1613"/>
      <c r="F42" s="1614"/>
      <c r="G42" s="1615"/>
      <c r="H42" s="93"/>
      <c r="I42" s="470"/>
      <c r="J42" s="619"/>
      <c r="K42" s="94"/>
      <c r="L42" s="992"/>
      <c r="M42" s="992"/>
      <c r="N42" s="44"/>
      <c r="O42" s="548"/>
      <c r="P42" s="488"/>
    </row>
    <row r="43" spans="2:17" s="15" customFormat="1" ht="22.5" customHeight="1" x14ac:dyDescent="0.25">
      <c r="B43" s="13"/>
      <c r="C43" s="34" t="s">
        <v>436</v>
      </c>
      <c r="D43" s="1599" t="s">
        <v>63</v>
      </c>
      <c r="E43" s="1600"/>
      <c r="F43" s="1600"/>
      <c r="G43" s="1601"/>
      <c r="H43" s="35" t="s">
        <v>64</v>
      </c>
      <c r="I43" s="36"/>
      <c r="J43" s="610">
        <f>J44</f>
        <v>250000000</v>
      </c>
      <c r="K43" s="37">
        <f>K44</f>
        <v>250000000</v>
      </c>
      <c r="L43" s="991"/>
      <c r="M43" s="991"/>
      <c r="N43" s="38"/>
      <c r="O43" s="547"/>
      <c r="P43" s="487"/>
    </row>
    <row r="44" spans="2:17" s="82" customFormat="1" ht="34.5" customHeight="1" x14ac:dyDescent="0.25">
      <c r="B44" s="59"/>
      <c r="C44" s="78"/>
      <c r="D44" s="79" t="s">
        <v>5</v>
      </c>
      <c r="E44" s="1593" t="s">
        <v>65</v>
      </c>
      <c r="F44" s="1594"/>
      <c r="G44" s="1595"/>
      <c r="H44" s="80" t="s">
        <v>66</v>
      </c>
      <c r="I44" s="81">
        <v>1</v>
      </c>
      <c r="J44" s="613">
        <f>300000000-50000000</f>
        <v>250000000</v>
      </c>
      <c r="K44" s="52">
        <f>300000000-50000000</f>
        <v>250000000</v>
      </c>
      <c r="L44" s="44"/>
      <c r="M44" s="44"/>
      <c r="N44" s="44"/>
      <c r="O44" s="549"/>
      <c r="P44" s="488"/>
    </row>
    <row r="45" spans="2:17" s="15" customFormat="1" ht="7.5" customHeight="1" x14ac:dyDescent="0.25">
      <c r="B45" s="13"/>
      <c r="C45" s="83"/>
      <c r="D45" s="84"/>
      <c r="E45" s="1596"/>
      <c r="F45" s="1597"/>
      <c r="G45" s="1598"/>
      <c r="H45" s="41"/>
      <c r="I45" s="57"/>
      <c r="J45" s="614"/>
      <c r="K45" s="58"/>
      <c r="L45" s="992"/>
      <c r="M45" s="992"/>
      <c r="N45" s="44"/>
      <c r="O45" s="546"/>
      <c r="P45" s="488"/>
    </row>
    <row r="46" spans="2:17" s="15" customFormat="1" ht="33" customHeight="1" x14ac:dyDescent="0.25">
      <c r="B46" s="13"/>
      <c r="C46" s="34" t="s">
        <v>437</v>
      </c>
      <c r="D46" s="1599" t="s">
        <v>67</v>
      </c>
      <c r="E46" s="1600"/>
      <c r="F46" s="1600"/>
      <c r="G46" s="1601"/>
      <c r="H46" s="35" t="s">
        <v>68</v>
      </c>
      <c r="I46" s="36"/>
      <c r="J46" s="610">
        <f>SUM(J47:J50)</f>
        <v>1472000000</v>
      </c>
      <c r="K46" s="37">
        <f>SUM(K47:K50)</f>
        <v>1472000000</v>
      </c>
      <c r="L46" s="991"/>
      <c r="M46" s="991"/>
      <c r="N46" s="38"/>
      <c r="O46" s="547"/>
      <c r="P46" s="487"/>
    </row>
    <row r="47" spans="2:17" s="29" customFormat="1" ht="16.5" customHeight="1" x14ac:dyDescent="0.25">
      <c r="B47" s="13"/>
      <c r="C47" s="54"/>
      <c r="D47" s="55" t="s">
        <v>5</v>
      </c>
      <c r="E47" s="1602" t="s">
        <v>69</v>
      </c>
      <c r="F47" s="1603"/>
      <c r="G47" s="1604"/>
      <c r="H47" s="41" t="s">
        <v>466</v>
      </c>
      <c r="I47" s="85">
        <v>1</v>
      </c>
      <c r="J47" s="614">
        <v>300000000</v>
      </c>
      <c r="K47" s="58">
        <v>300000000</v>
      </c>
      <c r="L47" s="992"/>
      <c r="M47" s="992"/>
      <c r="N47" s="44"/>
      <c r="O47" s="550"/>
      <c r="P47" s="488"/>
    </row>
    <row r="48" spans="2:17" s="29" customFormat="1" ht="16.5" customHeight="1" x14ac:dyDescent="0.25">
      <c r="B48" s="13"/>
      <c r="C48" s="54"/>
      <c r="D48" s="55" t="s">
        <v>10</v>
      </c>
      <c r="E48" s="1584" t="s">
        <v>70</v>
      </c>
      <c r="F48" s="1585"/>
      <c r="G48" s="1586"/>
      <c r="H48" s="46" t="s">
        <v>71</v>
      </c>
      <c r="I48" s="42">
        <v>1</v>
      </c>
      <c r="J48" s="620">
        <v>350000000</v>
      </c>
      <c r="K48" s="86">
        <v>350000000</v>
      </c>
      <c r="L48" s="992"/>
      <c r="M48" s="992"/>
      <c r="N48" s="44"/>
      <c r="O48" s="551"/>
      <c r="P48" s="488"/>
    </row>
    <row r="49" spans="2:18" s="29" customFormat="1" ht="16.5" customHeight="1" x14ac:dyDescent="0.25">
      <c r="B49" s="13"/>
      <c r="C49" s="87"/>
      <c r="D49" s="88" t="s">
        <v>13</v>
      </c>
      <c r="E49" s="1605" t="s">
        <v>72</v>
      </c>
      <c r="F49" s="1606"/>
      <c r="G49" s="1607"/>
      <c r="H49" s="46" t="s">
        <v>73</v>
      </c>
      <c r="I49" s="42">
        <v>1</v>
      </c>
      <c r="J49" s="612">
        <f>722000000</f>
        <v>722000000</v>
      </c>
      <c r="K49" s="47">
        <f>722000000</f>
        <v>722000000</v>
      </c>
      <c r="L49" s="44"/>
      <c r="M49" s="44"/>
      <c r="N49" s="44"/>
      <c r="O49" s="551"/>
      <c r="P49" s="488"/>
    </row>
    <row r="50" spans="2:18" s="29" customFormat="1" ht="28.5" customHeight="1" x14ac:dyDescent="0.25">
      <c r="B50" s="13"/>
      <c r="C50" s="76"/>
      <c r="D50" s="89" t="s">
        <v>16</v>
      </c>
      <c r="E50" s="1584" t="s">
        <v>74</v>
      </c>
      <c r="F50" s="1585"/>
      <c r="G50" s="1586"/>
      <c r="H50" s="50" t="s">
        <v>467</v>
      </c>
      <c r="I50" s="51">
        <v>1</v>
      </c>
      <c r="J50" s="621">
        <v>100000000</v>
      </c>
      <c r="K50" s="90">
        <v>100000000</v>
      </c>
      <c r="L50" s="992"/>
      <c r="M50" s="992"/>
      <c r="N50" s="44"/>
      <c r="O50" s="545"/>
      <c r="P50" s="488"/>
    </row>
    <row r="51" spans="2:18" ht="3.75" customHeight="1" x14ac:dyDescent="0.25">
      <c r="C51" s="95"/>
      <c r="D51" s="96"/>
      <c r="E51" s="277"/>
      <c r="F51" s="97"/>
      <c r="G51" s="278"/>
      <c r="H51" s="98"/>
      <c r="I51" s="99"/>
      <c r="J51" s="622"/>
      <c r="K51" s="100"/>
      <c r="L51" s="993"/>
      <c r="M51" s="993"/>
      <c r="N51" s="101"/>
      <c r="O51" s="552"/>
      <c r="P51" s="491"/>
    </row>
    <row r="52" spans="2:18" s="15" customFormat="1" ht="30" customHeight="1" x14ac:dyDescent="0.25">
      <c r="B52" s="13"/>
      <c r="C52" s="102"/>
      <c r="D52" s="1587" t="s">
        <v>75</v>
      </c>
      <c r="E52" s="1588"/>
      <c r="F52" s="1588"/>
      <c r="G52" s="1588"/>
      <c r="H52" s="1588"/>
      <c r="I52" s="1589"/>
      <c r="J52" s="623">
        <f>J53+J142+J168+J173+J181+J222+J226+J230+J237+J253+J259</f>
        <v>296526922971</v>
      </c>
      <c r="K52" s="103">
        <f>K53+K142+K168+K173+K181+K222+K226+K230+K237+K253+K259</f>
        <v>296526922971</v>
      </c>
      <c r="L52" s="994"/>
      <c r="M52" s="994"/>
      <c r="N52" s="104"/>
      <c r="O52" s="593"/>
      <c r="P52" s="14"/>
    </row>
    <row r="53" spans="2:18" s="15" customFormat="1" ht="32.25" customHeight="1" x14ac:dyDescent="0.25">
      <c r="B53" s="13"/>
      <c r="C53" s="1506" t="s">
        <v>438</v>
      </c>
      <c r="D53" s="1507"/>
      <c r="E53" s="1590" t="s">
        <v>76</v>
      </c>
      <c r="F53" s="1591"/>
      <c r="G53" s="1592"/>
      <c r="H53" s="105" t="s">
        <v>77</v>
      </c>
      <c r="I53" s="106"/>
      <c r="J53" s="624">
        <f>J54+J55+J58+J62+J65+J66+J67+J68+J90+J92+J96+J101+J111+J114+J119+J125+J127+J129+J131+J136</f>
        <v>175815000000</v>
      </c>
      <c r="K53" s="107">
        <f>K54+K55+K58+K62+K65+K66+K67+K68+K90+K92+K96+K101+K111+K114+K119+K125+K127+K129+K131+K136</f>
        <v>179015000000</v>
      </c>
      <c r="L53" s="995"/>
      <c r="M53" s="995"/>
      <c r="N53" s="108"/>
      <c r="O53" s="515"/>
      <c r="P53" s="108"/>
      <c r="Q53" s="16">
        <v>1100000000</v>
      </c>
      <c r="R53" s="21">
        <v>172915000000</v>
      </c>
    </row>
    <row r="54" spans="2:18" s="113" customFormat="1" ht="27.75" customHeight="1" x14ac:dyDescent="0.25">
      <c r="B54" s="59"/>
      <c r="C54" s="114"/>
      <c r="D54" s="447"/>
      <c r="E54" s="88" t="s">
        <v>5</v>
      </c>
      <c r="F54" s="1579" t="s">
        <v>78</v>
      </c>
      <c r="G54" s="1580"/>
      <c r="H54" s="165" t="s">
        <v>79</v>
      </c>
      <c r="I54" s="110">
        <v>1</v>
      </c>
      <c r="J54" s="625">
        <f>550000000+200000000</f>
        <v>750000000</v>
      </c>
      <c r="K54" s="111">
        <f>550000000+200000000</f>
        <v>750000000</v>
      </c>
      <c r="L54" s="112"/>
      <c r="M54" s="112"/>
      <c r="N54" s="112"/>
      <c r="O54" s="553"/>
      <c r="P54" s="112"/>
    </row>
    <row r="55" spans="2:18" s="113" customFormat="1" ht="19.5" customHeight="1" x14ac:dyDescent="0.25">
      <c r="B55" s="59"/>
      <c r="C55" s="39"/>
      <c r="D55" s="109"/>
      <c r="E55" s="450" t="s">
        <v>10</v>
      </c>
      <c r="F55" s="1577" t="s">
        <v>80</v>
      </c>
      <c r="G55" s="1578"/>
      <c r="H55" s="173" t="s">
        <v>411</v>
      </c>
      <c r="I55" s="445" t="s">
        <v>430</v>
      </c>
      <c r="J55" s="626">
        <f>J56+J57</f>
        <v>850000000</v>
      </c>
      <c r="K55" s="117">
        <f>K56+K57</f>
        <v>850000000</v>
      </c>
      <c r="L55" s="118"/>
      <c r="M55" s="118"/>
      <c r="N55" s="118"/>
      <c r="O55" s="554"/>
      <c r="P55" s="118"/>
    </row>
    <row r="56" spans="2:18" s="113" customFormat="1" x14ac:dyDescent="0.25">
      <c r="B56" s="59"/>
      <c r="C56" s="119"/>
      <c r="D56" s="120"/>
      <c r="E56" s="121"/>
      <c r="F56" s="122" t="s">
        <v>46</v>
      </c>
      <c r="G56" s="123" t="s">
        <v>81</v>
      </c>
      <c r="H56" s="601"/>
      <c r="I56" s="124" t="s">
        <v>86</v>
      </c>
      <c r="J56" s="627">
        <v>500000000</v>
      </c>
      <c r="K56" s="125">
        <v>500000000</v>
      </c>
      <c r="L56" s="126"/>
      <c r="M56" s="126"/>
      <c r="N56" s="126"/>
      <c r="O56" s="555"/>
      <c r="P56" s="126"/>
    </row>
    <row r="57" spans="2:18" s="113" customFormat="1" x14ac:dyDescent="0.25">
      <c r="B57" s="59"/>
      <c r="C57" s="119"/>
      <c r="D57" s="120"/>
      <c r="E57" s="121"/>
      <c r="F57" s="122" t="s">
        <v>46</v>
      </c>
      <c r="G57" s="123" t="s">
        <v>82</v>
      </c>
      <c r="H57" s="601"/>
      <c r="I57" s="124" t="s">
        <v>86</v>
      </c>
      <c r="J57" s="627">
        <v>350000000</v>
      </c>
      <c r="K57" s="125">
        <v>350000000</v>
      </c>
      <c r="L57" s="126"/>
      <c r="M57" s="126"/>
      <c r="N57" s="126"/>
      <c r="O57" s="555"/>
      <c r="P57" s="126"/>
    </row>
    <row r="58" spans="2:18" s="113" customFormat="1" ht="21" customHeight="1" x14ac:dyDescent="0.25">
      <c r="B58" s="59"/>
      <c r="C58" s="39"/>
      <c r="D58" s="109"/>
      <c r="E58" s="449" t="s">
        <v>13</v>
      </c>
      <c r="F58" s="1581" t="s">
        <v>83</v>
      </c>
      <c r="G58" s="1581"/>
      <c r="H58" s="469" t="s">
        <v>412</v>
      </c>
      <c r="I58" s="444" t="s">
        <v>430</v>
      </c>
      <c r="J58" s="626">
        <f>SUM(J59:J60)</f>
        <v>400000000</v>
      </c>
      <c r="K58" s="117">
        <f>SUM(K59:K60)</f>
        <v>400000000</v>
      </c>
      <c r="L58" s="118"/>
      <c r="M58" s="118"/>
      <c r="N58" s="118"/>
      <c r="O58" s="556"/>
      <c r="P58" s="118"/>
    </row>
    <row r="59" spans="2:18" s="113" customFormat="1" x14ac:dyDescent="0.25">
      <c r="B59" s="59"/>
      <c r="C59" s="127"/>
      <c r="D59" s="128"/>
      <c r="E59" s="129"/>
      <c r="F59" s="130" t="s">
        <v>46</v>
      </c>
      <c r="G59" s="131" t="s">
        <v>84</v>
      </c>
      <c r="H59" s="602"/>
      <c r="I59" s="116" t="s">
        <v>86</v>
      </c>
      <c r="J59" s="627">
        <v>200000000</v>
      </c>
      <c r="K59" s="125">
        <v>200000000</v>
      </c>
      <c r="L59" s="126"/>
      <c r="M59" s="126"/>
      <c r="N59" s="126"/>
      <c r="O59" s="557"/>
      <c r="P59" s="126"/>
    </row>
    <row r="60" spans="2:18" s="113" customFormat="1" ht="14.25" customHeight="1" x14ac:dyDescent="0.25">
      <c r="B60" s="59"/>
      <c r="C60" s="119"/>
      <c r="D60" s="120"/>
      <c r="E60" s="121"/>
      <c r="F60" s="122" t="s">
        <v>46</v>
      </c>
      <c r="G60" s="123" t="s">
        <v>85</v>
      </c>
      <c r="H60" s="601"/>
      <c r="I60" s="124" t="s">
        <v>86</v>
      </c>
      <c r="J60" s="627">
        <v>200000000</v>
      </c>
      <c r="K60" s="125">
        <v>200000000</v>
      </c>
      <c r="L60" s="126"/>
      <c r="M60" s="126"/>
      <c r="N60" s="126"/>
      <c r="O60" s="555"/>
      <c r="P60" s="126"/>
    </row>
    <row r="61" spans="2:18" s="82" customFormat="1" ht="20.25" customHeight="1" x14ac:dyDescent="0.25">
      <c r="B61" s="59"/>
      <c r="C61" s="39"/>
      <c r="D61" s="109"/>
      <c r="E61" s="88" t="s">
        <v>16</v>
      </c>
      <c r="F61" s="1582" t="s">
        <v>87</v>
      </c>
      <c r="G61" s="1583"/>
      <c r="H61" s="597" t="s">
        <v>413</v>
      </c>
      <c r="I61" s="134">
        <v>1</v>
      </c>
      <c r="J61" s="628">
        <v>0</v>
      </c>
      <c r="K61" s="135">
        <v>0</v>
      </c>
      <c r="L61" s="108"/>
      <c r="M61" s="108"/>
      <c r="N61" s="108"/>
      <c r="O61" s="558"/>
      <c r="P61" s="108"/>
      <c r="Q61" s="136"/>
    </row>
    <row r="62" spans="2:18" s="82" customFormat="1" ht="29.25" customHeight="1" x14ac:dyDescent="0.25">
      <c r="B62" s="59"/>
      <c r="C62" s="39"/>
      <c r="D62" s="109"/>
      <c r="E62" s="88" t="s">
        <v>19</v>
      </c>
      <c r="F62" s="1582" t="s">
        <v>88</v>
      </c>
      <c r="G62" s="1583"/>
      <c r="H62" s="469" t="s">
        <v>414</v>
      </c>
      <c r="I62" s="443" t="s">
        <v>430</v>
      </c>
      <c r="J62" s="626">
        <f>SUM(J63:J64)</f>
        <v>900000000</v>
      </c>
      <c r="K62" s="117">
        <f>SUM(K63:K64)</f>
        <v>900000000</v>
      </c>
      <c r="L62" s="118"/>
      <c r="M62" s="118"/>
      <c r="N62" s="118"/>
      <c r="O62" s="559"/>
      <c r="P62" s="118"/>
    </row>
    <row r="63" spans="2:18" s="113" customFormat="1" ht="15.75" customHeight="1" x14ac:dyDescent="0.25">
      <c r="B63" s="59"/>
      <c r="C63" s="119"/>
      <c r="D63" s="120"/>
      <c r="E63" s="121"/>
      <c r="F63" s="122" t="s">
        <v>46</v>
      </c>
      <c r="G63" s="138" t="s">
        <v>392</v>
      </c>
      <c r="H63" s="601"/>
      <c r="I63" s="137" t="s">
        <v>86</v>
      </c>
      <c r="J63" s="627">
        <v>600000000</v>
      </c>
      <c r="K63" s="125">
        <v>600000000</v>
      </c>
      <c r="L63" s="126"/>
      <c r="M63" s="126"/>
      <c r="N63" s="126"/>
      <c r="O63" s="560"/>
      <c r="P63" s="126"/>
    </row>
    <row r="64" spans="2:18" s="113" customFormat="1" ht="25.5" x14ac:dyDescent="0.25">
      <c r="B64" s="59"/>
      <c r="C64" s="119"/>
      <c r="D64" s="120"/>
      <c r="E64" s="121"/>
      <c r="F64" s="122" t="s">
        <v>46</v>
      </c>
      <c r="G64" s="138" t="s">
        <v>89</v>
      </c>
      <c r="H64" s="601"/>
      <c r="I64" s="137" t="s">
        <v>86</v>
      </c>
      <c r="J64" s="627">
        <v>300000000</v>
      </c>
      <c r="K64" s="125">
        <v>300000000</v>
      </c>
      <c r="L64" s="126"/>
      <c r="M64" s="126"/>
      <c r="N64" s="126"/>
      <c r="O64" s="519"/>
      <c r="P64" s="126"/>
    </row>
    <row r="65" spans="2:19" s="29" customFormat="1" ht="19.5" customHeight="1" x14ac:dyDescent="0.25">
      <c r="B65" s="13"/>
      <c r="C65" s="39"/>
      <c r="D65" s="140"/>
      <c r="E65" s="109" t="s">
        <v>27</v>
      </c>
      <c r="F65" s="1533" t="s">
        <v>90</v>
      </c>
      <c r="G65" s="1534"/>
      <c r="H65" s="172" t="s">
        <v>91</v>
      </c>
      <c r="I65" s="142" t="s">
        <v>92</v>
      </c>
      <c r="J65" s="629">
        <f>100000000</f>
        <v>100000000</v>
      </c>
      <c r="K65" s="143">
        <f>100000000</f>
        <v>100000000</v>
      </c>
      <c r="L65" s="144"/>
      <c r="M65" s="144"/>
      <c r="N65" s="144"/>
      <c r="O65" s="520"/>
      <c r="P65" s="492"/>
      <c r="S65" s="145"/>
    </row>
    <row r="66" spans="2:19" s="62" customFormat="1" ht="19.5" customHeight="1" x14ac:dyDescent="0.25">
      <c r="B66" s="59"/>
      <c r="C66" s="39"/>
      <c r="D66" s="109"/>
      <c r="E66" s="88" t="s">
        <v>30</v>
      </c>
      <c r="F66" s="1582" t="s">
        <v>93</v>
      </c>
      <c r="G66" s="1583"/>
      <c r="H66" s="597" t="s">
        <v>94</v>
      </c>
      <c r="I66" s="442" t="s">
        <v>481</v>
      </c>
      <c r="J66" s="630">
        <f>7200000000+4000000000</f>
        <v>11200000000</v>
      </c>
      <c r="K66" s="146">
        <f>7200000000+4000000000</f>
        <v>11200000000</v>
      </c>
      <c r="L66" s="147"/>
      <c r="M66" s="147"/>
      <c r="N66" s="147"/>
      <c r="O66" s="521"/>
      <c r="P66" s="118"/>
      <c r="Q66" s="148"/>
      <c r="S66" s="148">
        <f>R66/800000</f>
        <v>0</v>
      </c>
    </row>
    <row r="67" spans="2:19" s="113" customFormat="1" ht="19.5" customHeight="1" x14ac:dyDescent="0.25">
      <c r="B67" s="59"/>
      <c r="C67" s="39"/>
      <c r="D67" s="109"/>
      <c r="E67" s="88" t="s">
        <v>8</v>
      </c>
      <c r="F67" s="1582" t="s">
        <v>95</v>
      </c>
      <c r="G67" s="1583"/>
      <c r="H67" s="469" t="s">
        <v>96</v>
      </c>
      <c r="I67" s="110" t="s">
        <v>429</v>
      </c>
      <c r="J67" s="631">
        <f>16100000000-10000000000+200000000</f>
        <v>6300000000</v>
      </c>
      <c r="K67" s="149">
        <f>16100000000-10000000000+200000000</f>
        <v>6300000000</v>
      </c>
      <c r="L67" s="150"/>
      <c r="M67" s="150"/>
      <c r="N67" s="150"/>
      <c r="O67" s="516"/>
      <c r="P67" s="112"/>
      <c r="R67" s="151"/>
    </row>
    <row r="68" spans="2:19" s="82" customFormat="1" ht="19.5" customHeight="1" x14ac:dyDescent="0.25">
      <c r="B68" s="59"/>
      <c r="C68" s="39"/>
      <c r="D68" s="109"/>
      <c r="E68" s="88" t="s">
        <v>22</v>
      </c>
      <c r="F68" s="1579" t="s">
        <v>97</v>
      </c>
      <c r="G68" s="1580"/>
      <c r="H68" s="152" t="s">
        <v>98</v>
      </c>
      <c r="I68" s="153">
        <v>1</v>
      </c>
      <c r="J68" s="632">
        <f>SUM(J69:J74)</f>
        <v>6600000000</v>
      </c>
      <c r="K68" s="154">
        <f>SUM(K69:K74)</f>
        <v>6600000000</v>
      </c>
      <c r="L68" s="118"/>
      <c r="M68" s="118"/>
      <c r="N68" s="118"/>
      <c r="O68" s="522"/>
      <c r="P68" s="118"/>
      <c r="R68" s="155"/>
    </row>
    <row r="69" spans="2:19" s="163" customFormat="1" x14ac:dyDescent="0.25">
      <c r="B69" s="59"/>
      <c r="C69" s="119"/>
      <c r="D69" s="156"/>
      <c r="E69" s="157"/>
      <c r="F69" s="158" t="s">
        <v>46</v>
      </c>
      <c r="G69" s="159" t="s">
        <v>99</v>
      </c>
      <c r="H69" s="160"/>
      <c r="I69" s="161"/>
      <c r="J69" s="633">
        <v>1100000000</v>
      </c>
      <c r="K69" s="162">
        <v>1100000000</v>
      </c>
      <c r="L69" s="126"/>
      <c r="M69" s="126"/>
      <c r="N69" s="126"/>
      <c r="O69" s="523"/>
      <c r="P69" s="126"/>
    </row>
    <row r="70" spans="2:19" s="163" customFormat="1" x14ac:dyDescent="0.25">
      <c r="B70" s="59"/>
      <c r="C70" s="119"/>
      <c r="D70" s="156"/>
      <c r="E70" s="157"/>
      <c r="F70" s="158" t="s">
        <v>46</v>
      </c>
      <c r="G70" s="159" t="s">
        <v>100</v>
      </c>
      <c r="H70" s="160"/>
      <c r="I70" s="161"/>
      <c r="J70" s="633">
        <v>1100000000</v>
      </c>
      <c r="K70" s="162">
        <v>1100000000</v>
      </c>
      <c r="L70" s="126"/>
      <c r="M70" s="126"/>
      <c r="N70" s="126"/>
      <c r="O70" s="523"/>
      <c r="P70" s="126"/>
      <c r="R70" s="164"/>
    </row>
    <row r="71" spans="2:19" s="163" customFormat="1" x14ac:dyDescent="0.25">
      <c r="B71" s="59"/>
      <c r="C71" s="119"/>
      <c r="D71" s="156"/>
      <c r="E71" s="157"/>
      <c r="F71" s="158" t="s">
        <v>46</v>
      </c>
      <c r="G71" s="159" t="s">
        <v>101</v>
      </c>
      <c r="H71" s="160"/>
      <c r="I71" s="161"/>
      <c r="J71" s="633">
        <v>1100000000</v>
      </c>
      <c r="K71" s="162">
        <v>1100000000</v>
      </c>
      <c r="L71" s="126"/>
      <c r="M71" s="126"/>
      <c r="N71" s="126"/>
      <c r="O71" s="523"/>
      <c r="P71" s="126"/>
    </row>
    <row r="72" spans="2:19" s="163" customFormat="1" x14ac:dyDescent="0.25">
      <c r="B72" s="59"/>
      <c r="C72" s="119"/>
      <c r="D72" s="156"/>
      <c r="E72" s="157"/>
      <c r="F72" s="158" t="s">
        <v>46</v>
      </c>
      <c r="G72" s="159" t="s">
        <v>102</v>
      </c>
      <c r="H72" s="160"/>
      <c r="I72" s="161"/>
      <c r="J72" s="633">
        <v>1100000000</v>
      </c>
      <c r="K72" s="162">
        <v>1100000000</v>
      </c>
      <c r="L72" s="126"/>
      <c r="M72" s="126"/>
      <c r="N72" s="126"/>
      <c r="O72" s="523"/>
      <c r="P72" s="126"/>
    </row>
    <row r="73" spans="2:19" s="163" customFormat="1" x14ac:dyDescent="0.25">
      <c r="B73" s="59"/>
      <c r="C73" s="119"/>
      <c r="D73" s="156"/>
      <c r="E73" s="157"/>
      <c r="F73" s="158" t="s">
        <v>46</v>
      </c>
      <c r="G73" s="159" t="s">
        <v>103</v>
      </c>
      <c r="H73" s="160"/>
      <c r="I73" s="161"/>
      <c r="J73" s="633">
        <v>1100000000</v>
      </c>
      <c r="K73" s="162">
        <v>1100000000</v>
      </c>
      <c r="L73" s="126"/>
      <c r="M73" s="126"/>
      <c r="N73" s="126"/>
      <c r="O73" s="523"/>
      <c r="P73" s="126"/>
    </row>
    <row r="74" spans="2:19" s="163" customFormat="1" x14ac:dyDescent="0.25">
      <c r="B74" s="59"/>
      <c r="C74" s="119"/>
      <c r="D74" s="156"/>
      <c r="E74" s="157"/>
      <c r="F74" s="158" t="s">
        <v>46</v>
      </c>
      <c r="G74" s="159" t="s">
        <v>104</v>
      </c>
      <c r="H74" s="160"/>
      <c r="I74" s="161"/>
      <c r="J74" s="633">
        <v>1100000000</v>
      </c>
      <c r="K74" s="162">
        <v>1100000000</v>
      </c>
      <c r="L74" s="126"/>
      <c r="M74" s="126"/>
      <c r="N74" s="126"/>
      <c r="O74" s="523"/>
      <c r="P74" s="126"/>
    </row>
    <row r="75" spans="2:19" s="113" customFormat="1" ht="19.5" customHeight="1" x14ac:dyDescent="0.25">
      <c r="B75" s="59"/>
      <c r="C75" s="39"/>
      <c r="D75" s="109"/>
      <c r="E75" s="88" t="s">
        <v>210</v>
      </c>
      <c r="F75" s="1577" t="s">
        <v>105</v>
      </c>
      <c r="G75" s="1578"/>
      <c r="H75" s="165" t="s">
        <v>106</v>
      </c>
      <c r="I75" s="166">
        <v>1</v>
      </c>
      <c r="J75" s="634">
        <v>0</v>
      </c>
      <c r="K75" s="167">
        <v>0</v>
      </c>
      <c r="L75" s="168"/>
      <c r="M75" s="168"/>
      <c r="N75" s="168"/>
      <c r="O75" s="524"/>
      <c r="P75" s="168"/>
      <c r="Q75" s="113" t="s">
        <v>107</v>
      </c>
    </row>
    <row r="76" spans="2:19" s="113" customFormat="1" ht="15.75" hidden="1" customHeight="1" x14ac:dyDescent="0.25">
      <c r="B76" s="59"/>
      <c r="C76" s="119"/>
      <c r="D76" s="156"/>
      <c r="E76" s="157"/>
      <c r="F76" s="169" t="s">
        <v>46</v>
      </c>
      <c r="G76" s="170" t="s">
        <v>108</v>
      </c>
      <c r="H76" s="171"/>
      <c r="I76" s="116" t="s">
        <v>109</v>
      </c>
      <c r="J76" s="627">
        <v>17500000000</v>
      </c>
      <c r="K76" s="125">
        <v>17500000000</v>
      </c>
      <c r="L76" s="126"/>
      <c r="M76" s="126"/>
      <c r="N76" s="126"/>
      <c r="O76" s="517"/>
      <c r="P76" s="126"/>
    </row>
    <row r="77" spans="2:19" s="113" customFormat="1" ht="15.75" hidden="1" customHeight="1" x14ac:dyDescent="0.25">
      <c r="B77" s="59"/>
      <c r="C77" s="119"/>
      <c r="D77" s="156"/>
      <c r="E77" s="157"/>
      <c r="F77" s="169" t="s">
        <v>46</v>
      </c>
      <c r="G77" s="170" t="s">
        <v>110</v>
      </c>
      <c r="H77" s="171"/>
      <c r="I77" s="116" t="s">
        <v>111</v>
      </c>
      <c r="J77" s="627">
        <v>7500000000</v>
      </c>
      <c r="K77" s="125">
        <v>7500000000</v>
      </c>
      <c r="L77" s="126"/>
      <c r="M77" s="126"/>
      <c r="N77" s="126"/>
      <c r="O77" s="517"/>
      <c r="P77" s="126"/>
    </row>
    <row r="78" spans="2:19" s="113" customFormat="1" ht="15.75" hidden="1" customHeight="1" x14ac:dyDescent="0.25">
      <c r="B78" s="59"/>
      <c r="C78" s="119"/>
      <c r="D78" s="156"/>
      <c r="E78" s="157"/>
      <c r="F78" s="169" t="s">
        <v>46</v>
      </c>
      <c r="G78" s="170" t="s">
        <v>112</v>
      </c>
      <c r="H78" s="171"/>
      <c r="I78" s="116" t="s">
        <v>113</v>
      </c>
      <c r="J78" s="627">
        <v>15400000000</v>
      </c>
      <c r="K78" s="125">
        <v>15400000000</v>
      </c>
      <c r="L78" s="126"/>
      <c r="M78" s="126"/>
      <c r="N78" s="126"/>
      <c r="O78" s="517"/>
      <c r="P78" s="126"/>
    </row>
    <row r="79" spans="2:19" s="113" customFormat="1" ht="15.75" hidden="1" customHeight="1" x14ac:dyDescent="0.25">
      <c r="B79" s="59"/>
      <c r="C79" s="119"/>
      <c r="D79" s="156"/>
      <c r="E79" s="157"/>
      <c r="F79" s="169" t="s">
        <v>46</v>
      </c>
      <c r="G79" s="170" t="s">
        <v>114</v>
      </c>
      <c r="H79" s="171"/>
      <c r="I79" s="116" t="s">
        <v>115</v>
      </c>
      <c r="J79" s="627">
        <v>0</v>
      </c>
      <c r="K79" s="125">
        <v>0</v>
      </c>
      <c r="L79" s="126"/>
      <c r="M79" s="126"/>
      <c r="N79" s="126"/>
      <c r="O79" s="517"/>
      <c r="P79" s="126"/>
    </row>
    <row r="80" spans="2:19" s="113" customFormat="1" ht="15.75" hidden="1" customHeight="1" x14ac:dyDescent="0.25">
      <c r="B80" s="59"/>
      <c r="C80" s="119"/>
      <c r="D80" s="156"/>
      <c r="E80" s="157"/>
      <c r="F80" s="169" t="s">
        <v>46</v>
      </c>
      <c r="G80" s="170" t="s">
        <v>116</v>
      </c>
      <c r="H80" s="171"/>
      <c r="I80" s="116">
        <v>1</v>
      </c>
      <c r="J80" s="627">
        <v>1000000</v>
      </c>
      <c r="K80" s="125">
        <v>1000000</v>
      </c>
      <c r="L80" s="126"/>
      <c r="M80" s="126"/>
      <c r="N80" s="126"/>
      <c r="O80" s="517"/>
      <c r="P80" s="126"/>
    </row>
    <row r="81" spans="2:19" s="113" customFormat="1" ht="15.75" hidden="1" customHeight="1" x14ac:dyDescent="0.25">
      <c r="B81" s="59"/>
      <c r="C81" s="119"/>
      <c r="D81" s="156"/>
      <c r="E81" s="157"/>
      <c r="F81" s="169" t="s">
        <v>46</v>
      </c>
      <c r="G81" s="170" t="s">
        <v>117</v>
      </c>
      <c r="H81" s="171"/>
      <c r="I81" s="116">
        <v>1</v>
      </c>
      <c r="J81" s="627">
        <v>1000000</v>
      </c>
      <c r="K81" s="125">
        <v>1000000</v>
      </c>
      <c r="L81" s="126"/>
      <c r="M81" s="126"/>
      <c r="N81" s="126"/>
      <c r="O81" s="517"/>
      <c r="P81" s="126"/>
    </row>
    <row r="82" spans="2:19" s="113" customFormat="1" ht="30.75" hidden="1" customHeight="1" x14ac:dyDescent="0.25">
      <c r="B82" s="59"/>
      <c r="C82" s="119"/>
      <c r="D82" s="156"/>
      <c r="E82" s="157"/>
      <c r="F82" s="169" t="s">
        <v>46</v>
      </c>
      <c r="G82" s="170" t="s">
        <v>118</v>
      </c>
      <c r="H82" s="171"/>
      <c r="I82" s="116">
        <v>1</v>
      </c>
      <c r="J82" s="627">
        <v>1000000</v>
      </c>
      <c r="K82" s="125">
        <v>1000000</v>
      </c>
      <c r="L82" s="126"/>
      <c r="M82" s="126"/>
      <c r="N82" s="126"/>
      <c r="O82" s="517"/>
      <c r="P82" s="126"/>
    </row>
    <row r="83" spans="2:19" s="113" customFormat="1" ht="15.75" hidden="1" customHeight="1" x14ac:dyDescent="0.25">
      <c r="B83" s="59"/>
      <c r="C83" s="119"/>
      <c r="D83" s="156"/>
      <c r="E83" s="157"/>
      <c r="F83" s="169" t="s">
        <v>46</v>
      </c>
      <c r="G83" s="170" t="s">
        <v>119</v>
      </c>
      <c r="H83" s="171"/>
      <c r="I83" s="116">
        <v>1</v>
      </c>
      <c r="J83" s="627">
        <v>1000000</v>
      </c>
      <c r="K83" s="125">
        <v>1000000</v>
      </c>
      <c r="L83" s="126"/>
      <c r="M83" s="126"/>
      <c r="N83" s="126"/>
      <c r="O83" s="517"/>
      <c r="P83" s="126"/>
    </row>
    <row r="84" spans="2:19" s="113" customFormat="1" ht="15.75" hidden="1" customHeight="1" x14ac:dyDescent="0.25">
      <c r="B84" s="59"/>
      <c r="C84" s="119"/>
      <c r="D84" s="156"/>
      <c r="E84" s="157"/>
      <c r="F84" s="169" t="s">
        <v>46</v>
      </c>
      <c r="G84" s="170" t="s">
        <v>120</v>
      </c>
      <c r="H84" s="171"/>
      <c r="I84" s="116">
        <v>1</v>
      </c>
      <c r="J84" s="627">
        <v>1000000</v>
      </c>
      <c r="K84" s="125">
        <v>1000000</v>
      </c>
      <c r="L84" s="126"/>
      <c r="M84" s="126"/>
      <c r="N84" s="126"/>
      <c r="O84" s="517"/>
      <c r="P84" s="126"/>
    </row>
    <row r="85" spans="2:19" s="113" customFormat="1" ht="30.75" hidden="1" customHeight="1" x14ac:dyDescent="0.25">
      <c r="B85" s="59"/>
      <c r="C85" s="119"/>
      <c r="D85" s="156"/>
      <c r="E85" s="157"/>
      <c r="F85" s="169" t="s">
        <v>46</v>
      </c>
      <c r="G85" s="170" t="s">
        <v>121</v>
      </c>
      <c r="H85" s="171"/>
      <c r="I85" s="116">
        <v>1</v>
      </c>
      <c r="J85" s="627">
        <v>1000000</v>
      </c>
      <c r="K85" s="125">
        <v>1000000</v>
      </c>
      <c r="L85" s="126"/>
      <c r="M85" s="126"/>
      <c r="N85" s="126"/>
      <c r="O85" s="517"/>
      <c r="P85" s="126"/>
    </row>
    <row r="86" spans="2:19" s="113" customFormat="1" ht="30.75" hidden="1" customHeight="1" x14ac:dyDescent="0.25">
      <c r="B86" s="59"/>
      <c r="C86" s="119"/>
      <c r="D86" s="156"/>
      <c r="E86" s="157"/>
      <c r="F86" s="169" t="s">
        <v>46</v>
      </c>
      <c r="G86" s="170" t="s">
        <v>122</v>
      </c>
      <c r="H86" s="171"/>
      <c r="I86" s="116">
        <v>1</v>
      </c>
      <c r="J86" s="627">
        <v>1000000</v>
      </c>
      <c r="K86" s="125">
        <v>1000000</v>
      </c>
      <c r="L86" s="126"/>
      <c r="M86" s="126"/>
      <c r="N86" s="126"/>
      <c r="O86" s="517"/>
      <c r="P86" s="126"/>
    </row>
    <row r="87" spans="2:19" s="113" customFormat="1" ht="15.75" hidden="1" customHeight="1" x14ac:dyDescent="0.25">
      <c r="B87" s="59"/>
      <c r="C87" s="119"/>
      <c r="D87" s="156"/>
      <c r="E87" s="157"/>
      <c r="F87" s="169" t="s">
        <v>46</v>
      </c>
      <c r="G87" s="170" t="s">
        <v>123</v>
      </c>
      <c r="H87" s="171"/>
      <c r="I87" s="116">
        <v>2</v>
      </c>
      <c r="J87" s="627">
        <v>1000000</v>
      </c>
      <c r="K87" s="125">
        <v>1000000</v>
      </c>
      <c r="L87" s="126"/>
      <c r="M87" s="126"/>
      <c r="N87" s="126"/>
      <c r="O87" s="517"/>
      <c r="P87" s="126"/>
    </row>
    <row r="88" spans="2:19" s="113" customFormat="1" ht="15.75" hidden="1" customHeight="1" x14ac:dyDescent="0.25">
      <c r="B88" s="59"/>
      <c r="C88" s="119"/>
      <c r="D88" s="156"/>
      <c r="E88" s="157"/>
      <c r="F88" s="169" t="s">
        <v>46</v>
      </c>
      <c r="G88" s="170" t="s">
        <v>124</v>
      </c>
      <c r="H88" s="171"/>
      <c r="I88" s="116">
        <v>1</v>
      </c>
      <c r="J88" s="627">
        <v>1000000</v>
      </c>
      <c r="K88" s="125">
        <v>1000000</v>
      </c>
      <c r="L88" s="126"/>
      <c r="M88" s="126"/>
      <c r="N88" s="126"/>
      <c r="O88" s="517"/>
      <c r="P88" s="126"/>
    </row>
    <row r="89" spans="2:19" s="113" customFormat="1" ht="21.75" hidden="1" customHeight="1" x14ac:dyDescent="0.25">
      <c r="B89" s="59"/>
      <c r="C89" s="39"/>
      <c r="D89" s="109"/>
      <c r="E89" s="88"/>
      <c r="F89" s="1577" t="s">
        <v>125</v>
      </c>
      <c r="G89" s="1578"/>
      <c r="H89" s="172" t="s">
        <v>126</v>
      </c>
      <c r="I89" s="110"/>
      <c r="J89" s="625">
        <v>0</v>
      </c>
      <c r="K89" s="111">
        <v>0</v>
      </c>
      <c r="L89" s="112"/>
      <c r="M89" s="112"/>
      <c r="N89" s="112"/>
      <c r="O89" s="516"/>
      <c r="P89" s="112"/>
    </row>
    <row r="90" spans="2:19" s="62" customFormat="1" ht="21" customHeight="1" x14ac:dyDescent="0.25">
      <c r="B90" s="59"/>
      <c r="C90" s="39"/>
      <c r="D90" s="109"/>
      <c r="E90" s="88" t="s">
        <v>439</v>
      </c>
      <c r="F90" s="1577" t="s">
        <v>127</v>
      </c>
      <c r="G90" s="1578"/>
      <c r="H90" s="173" t="s">
        <v>128</v>
      </c>
      <c r="I90" s="134" t="s">
        <v>397</v>
      </c>
      <c r="J90" s="626">
        <f>SUM(J91:J91)</f>
        <v>10000000000</v>
      </c>
      <c r="K90" s="117">
        <f>SUM(K91:K91)</f>
        <v>10000000000</v>
      </c>
      <c r="L90" s="118"/>
      <c r="M90" s="118"/>
      <c r="N90" s="118"/>
      <c r="O90" s="518"/>
      <c r="P90" s="118"/>
    </row>
    <row r="91" spans="2:19" s="113" customFormat="1" x14ac:dyDescent="0.25">
      <c r="B91" s="59"/>
      <c r="C91" s="127"/>
      <c r="D91" s="128"/>
      <c r="E91" s="115"/>
      <c r="F91" s="174" t="s">
        <v>46</v>
      </c>
      <c r="G91" s="175" t="s">
        <v>129</v>
      </c>
      <c r="H91" s="602"/>
      <c r="I91" s="176" t="s">
        <v>393</v>
      </c>
      <c r="J91" s="635">
        <v>10000000000</v>
      </c>
      <c r="K91" s="177">
        <v>10000000000</v>
      </c>
      <c r="L91" s="178"/>
      <c r="M91" s="178"/>
      <c r="N91" s="178"/>
      <c r="O91" s="525"/>
      <c r="P91" s="178"/>
    </row>
    <row r="92" spans="2:19" s="62" customFormat="1" ht="19.5" customHeight="1" x14ac:dyDescent="0.25">
      <c r="B92" s="59"/>
      <c r="C92" s="39"/>
      <c r="D92" s="109"/>
      <c r="E92" s="88" t="s">
        <v>440</v>
      </c>
      <c r="F92" s="1577" t="s">
        <v>130</v>
      </c>
      <c r="G92" s="1578"/>
      <c r="H92" s="165" t="s">
        <v>131</v>
      </c>
      <c r="I92" s="134" t="s">
        <v>398</v>
      </c>
      <c r="J92" s="626">
        <f>SUM(J93:J95)</f>
        <v>12000000000</v>
      </c>
      <c r="K92" s="117">
        <f>SUM(K93:K95)</f>
        <v>12000000000</v>
      </c>
      <c r="L92" s="118"/>
      <c r="M92" s="118"/>
      <c r="N92" s="118"/>
      <c r="O92" s="518"/>
      <c r="P92" s="118"/>
    </row>
    <row r="93" spans="2:19" s="113" customFormat="1" x14ac:dyDescent="0.25">
      <c r="B93" s="59"/>
      <c r="C93" s="127"/>
      <c r="D93" s="128"/>
      <c r="E93" s="115"/>
      <c r="F93" s="130" t="s">
        <v>46</v>
      </c>
      <c r="G93" s="180" t="s">
        <v>132</v>
      </c>
      <c r="H93" s="602"/>
      <c r="I93" s="176" t="s">
        <v>133</v>
      </c>
      <c r="J93" s="635">
        <v>4200000000</v>
      </c>
      <c r="K93" s="177">
        <v>4200000000</v>
      </c>
      <c r="L93" s="178"/>
      <c r="M93" s="178"/>
      <c r="N93" s="178"/>
      <c r="O93" s="525"/>
      <c r="P93" s="178"/>
      <c r="Q93" s="181"/>
      <c r="S93" s="181"/>
    </row>
    <row r="94" spans="2:19" s="192" customFormat="1" x14ac:dyDescent="0.25">
      <c r="B94" s="182"/>
      <c r="C94" s="183"/>
      <c r="D94" s="184"/>
      <c r="E94" s="185"/>
      <c r="F94" s="186" t="s">
        <v>46</v>
      </c>
      <c r="G94" s="187" t="s">
        <v>132</v>
      </c>
      <c r="H94" s="603"/>
      <c r="I94" s="189"/>
      <c r="J94" s="636">
        <v>1800000000</v>
      </c>
      <c r="K94" s="190">
        <v>1800000000</v>
      </c>
      <c r="L94" s="191"/>
      <c r="M94" s="191"/>
      <c r="N94" s="191"/>
      <c r="O94" s="584" t="s">
        <v>134</v>
      </c>
      <c r="P94" s="191">
        <v>1800000000</v>
      </c>
      <c r="Q94" s="193" t="s">
        <v>134</v>
      </c>
      <c r="S94" s="193"/>
    </row>
    <row r="95" spans="2:19" s="113" customFormat="1" x14ac:dyDescent="0.25">
      <c r="B95" s="59"/>
      <c r="C95" s="127"/>
      <c r="D95" s="128"/>
      <c r="E95" s="115"/>
      <c r="F95" s="130" t="s">
        <v>46</v>
      </c>
      <c r="G95" s="180" t="s">
        <v>135</v>
      </c>
      <c r="H95" s="602"/>
      <c r="I95" s="176" t="s">
        <v>133</v>
      </c>
      <c r="J95" s="635">
        <v>6000000000</v>
      </c>
      <c r="K95" s="177">
        <v>6000000000</v>
      </c>
      <c r="L95" s="178"/>
      <c r="M95" s="178"/>
      <c r="N95" s="178"/>
      <c r="O95" s="585"/>
      <c r="P95" s="178"/>
    </row>
    <row r="96" spans="2:19" s="62" customFormat="1" ht="28.5" customHeight="1" x14ac:dyDescent="0.25">
      <c r="B96" s="59"/>
      <c r="C96" s="598"/>
      <c r="D96" s="599"/>
      <c r="E96" s="697" t="s">
        <v>441</v>
      </c>
      <c r="F96" s="1546" t="s">
        <v>136</v>
      </c>
      <c r="G96" s="1547"/>
      <c r="H96" s="698" t="s">
        <v>137</v>
      </c>
      <c r="I96" s="699" t="s">
        <v>404</v>
      </c>
      <c r="J96" s="700">
        <f>SUM(J97:J100)</f>
        <v>26300000000</v>
      </c>
      <c r="K96" s="701">
        <f>SUM(K97:K100)</f>
        <v>28000000000</v>
      </c>
      <c r="L96" s="996"/>
      <c r="M96" s="996"/>
      <c r="N96" s="118"/>
      <c r="O96" s="586"/>
      <c r="P96" s="118"/>
    </row>
    <row r="97" spans="2:17" s="113" customFormat="1" x14ac:dyDescent="0.25">
      <c r="B97" s="59"/>
      <c r="C97" s="127"/>
      <c r="D97" s="128"/>
      <c r="E97" s="115"/>
      <c r="F97" s="130" t="s">
        <v>46</v>
      </c>
      <c r="G97" s="201" t="s">
        <v>138</v>
      </c>
      <c r="H97" s="602"/>
      <c r="I97" s="116" t="s">
        <v>109</v>
      </c>
      <c r="J97" s="635">
        <v>12500000000</v>
      </c>
      <c r="K97" s="177">
        <v>12500000000</v>
      </c>
      <c r="L97" s="178"/>
      <c r="M97" s="178"/>
      <c r="N97" s="178"/>
      <c r="O97" s="585"/>
      <c r="P97" s="178"/>
    </row>
    <row r="98" spans="2:17" s="113" customFormat="1" ht="12.75" customHeight="1" x14ac:dyDescent="0.25">
      <c r="B98" s="59"/>
      <c r="C98" s="127"/>
      <c r="D98" s="128"/>
      <c r="E98" s="115"/>
      <c r="F98" s="130" t="s">
        <v>46</v>
      </c>
      <c r="G98" s="201" t="s">
        <v>139</v>
      </c>
      <c r="H98" s="604"/>
      <c r="I98" s="116" t="s">
        <v>159</v>
      </c>
      <c r="J98" s="635">
        <v>5800000000</v>
      </c>
      <c r="K98" s="702">
        <f>5800000000+1700000000</f>
        <v>7500000000</v>
      </c>
      <c r="L98" s="997"/>
      <c r="M98" s="997"/>
      <c r="N98" s="178"/>
      <c r="O98" s="585"/>
      <c r="P98" s="178"/>
    </row>
    <row r="99" spans="2:17" s="113" customFormat="1" ht="15" customHeight="1" x14ac:dyDescent="0.25">
      <c r="B99" s="59"/>
      <c r="C99" s="127"/>
      <c r="D99" s="128"/>
      <c r="E99" s="115"/>
      <c r="F99" s="130" t="s">
        <v>46</v>
      </c>
      <c r="G99" s="201" t="s">
        <v>140</v>
      </c>
      <c r="H99" s="602"/>
      <c r="I99" s="116" t="s">
        <v>111</v>
      </c>
      <c r="J99" s="635">
        <v>7500000000</v>
      </c>
      <c r="K99" s="177">
        <v>7500000000</v>
      </c>
      <c r="L99" s="178"/>
      <c r="M99" s="178"/>
      <c r="N99" s="178"/>
      <c r="O99" s="585"/>
      <c r="P99" s="178"/>
    </row>
    <row r="100" spans="2:17" s="192" customFormat="1" ht="15" customHeight="1" x14ac:dyDescent="0.25">
      <c r="B100" s="182"/>
      <c r="C100" s="183"/>
      <c r="D100" s="184"/>
      <c r="E100" s="185"/>
      <c r="F100" s="186"/>
      <c r="G100" s="202" t="s">
        <v>138</v>
      </c>
      <c r="H100" s="603"/>
      <c r="I100" s="203"/>
      <c r="J100" s="636">
        <v>500000000</v>
      </c>
      <c r="K100" s="190">
        <v>500000000</v>
      </c>
      <c r="L100" s="191"/>
      <c r="M100" s="191"/>
      <c r="N100" s="191"/>
      <c r="O100" s="587" t="s">
        <v>143</v>
      </c>
      <c r="P100" s="191">
        <v>500000000</v>
      </c>
      <c r="Q100" s="192" t="s">
        <v>143</v>
      </c>
    </row>
    <row r="101" spans="2:17" s="113" customFormat="1" ht="31.5" customHeight="1" x14ac:dyDescent="0.25">
      <c r="B101" s="59"/>
      <c r="C101" s="598"/>
      <c r="D101" s="599"/>
      <c r="E101" s="697" t="s">
        <v>442</v>
      </c>
      <c r="F101" s="1546" t="s">
        <v>145</v>
      </c>
      <c r="G101" s="1547"/>
      <c r="H101" s="707" t="s">
        <v>146</v>
      </c>
      <c r="I101" s="699" t="s">
        <v>113</v>
      </c>
      <c r="J101" s="708">
        <f>SUM(J102:J110)</f>
        <v>21200000000</v>
      </c>
      <c r="K101" s="709">
        <f>SUM(K102:K110)</f>
        <v>22200000000</v>
      </c>
      <c r="L101" s="998"/>
      <c r="M101" s="998"/>
      <c r="N101" s="112"/>
      <c r="O101" s="585"/>
      <c r="P101" s="112"/>
    </row>
    <row r="102" spans="2:17" s="113" customFormat="1" ht="15.75" customHeight="1" x14ac:dyDescent="0.25">
      <c r="B102" s="59"/>
      <c r="C102" s="127"/>
      <c r="D102" s="128"/>
      <c r="E102" s="115"/>
      <c r="F102" s="130" t="s">
        <v>46</v>
      </c>
      <c r="G102" s="175" t="s">
        <v>147</v>
      </c>
      <c r="H102" s="602"/>
      <c r="I102" s="176" t="s">
        <v>111</v>
      </c>
      <c r="J102" s="635">
        <v>5000000000</v>
      </c>
      <c r="K102" s="177">
        <v>5000000000</v>
      </c>
      <c r="L102" s="178"/>
      <c r="M102" s="178"/>
      <c r="N102" s="178"/>
      <c r="O102" s="585"/>
      <c r="P102" s="178"/>
    </row>
    <row r="103" spans="2:17" s="113" customFormat="1" ht="15.75" customHeight="1" x14ac:dyDescent="0.25">
      <c r="B103" s="59"/>
      <c r="C103" s="127"/>
      <c r="D103" s="128"/>
      <c r="E103" s="115"/>
      <c r="F103" s="130" t="s">
        <v>46</v>
      </c>
      <c r="G103" s="175" t="s">
        <v>149</v>
      </c>
      <c r="H103" s="602"/>
      <c r="I103" s="176" t="s">
        <v>142</v>
      </c>
      <c r="J103" s="635">
        <v>6000000000</v>
      </c>
      <c r="K103" s="177">
        <v>6000000000</v>
      </c>
      <c r="L103" s="178"/>
      <c r="M103" s="178"/>
      <c r="N103" s="178"/>
      <c r="O103" s="585"/>
      <c r="P103" s="178"/>
    </row>
    <row r="104" spans="2:17" s="113" customFormat="1" x14ac:dyDescent="0.25">
      <c r="B104" s="59"/>
      <c r="C104" s="127"/>
      <c r="D104" s="128"/>
      <c r="E104" s="115"/>
      <c r="F104" s="174" t="s">
        <v>46</v>
      </c>
      <c r="G104" s="175" t="s">
        <v>150</v>
      </c>
      <c r="H104" s="602"/>
      <c r="I104" s="176" t="s">
        <v>399</v>
      </c>
      <c r="J104" s="635">
        <v>3000000000</v>
      </c>
      <c r="K104" s="177">
        <v>3000000000</v>
      </c>
      <c r="L104" s="178"/>
      <c r="M104" s="178"/>
      <c r="N104" s="178"/>
      <c r="O104" s="585"/>
      <c r="P104" s="178"/>
    </row>
    <row r="105" spans="2:17" s="113" customFormat="1" ht="15.75" customHeight="1" x14ac:dyDescent="0.25">
      <c r="B105" s="703"/>
      <c r="C105" s="127"/>
      <c r="D105" s="128"/>
      <c r="E105" s="129"/>
      <c r="F105" s="706" t="s">
        <v>46</v>
      </c>
      <c r="G105" s="175" t="s">
        <v>394</v>
      </c>
      <c r="H105" s="602"/>
      <c r="I105" s="176" t="s">
        <v>174</v>
      </c>
      <c r="J105" s="635">
        <v>0</v>
      </c>
      <c r="K105" s="702">
        <v>500000000</v>
      </c>
      <c r="L105" s="997"/>
      <c r="M105" s="997"/>
      <c r="N105" s="178"/>
      <c r="O105" s="585"/>
      <c r="P105" s="178"/>
    </row>
    <row r="106" spans="2:17" s="113" customFormat="1" ht="15.75" customHeight="1" x14ac:dyDescent="0.25">
      <c r="B106" s="703"/>
      <c r="C106" s="127"/>
      <c r="D106" s="128"/>
      <c r="E106" s="129"/>
      <c r="F106" s="706" t="s">
        <v>46</v>
      </c>
      <c r="G106" s="175" t="s">
        <v>484</v>
      </c>
      <c r="H106" s="602"/>
      <c r="I106" s="176" t="s">
        <v>399</v>
      </c>
      <c r="J106" s="635">
        <v>0</v>
      </c>
      <c r="K106" s="702">
        <v>500000000</v>
      </c>
      <c r="L106" s="997"/>
      <c r="M106" s="997"/>
      <c r="N106" s="178"/>
      <c r="O106" s="585"/>
      <c r="P106" s="178"/>
    </row>
    <row r="107" spans="2:17" s="192" customFormat="1" ht="15.75" customHeight="1" x14ac:dyDescent="0.25">
      <c r="B107" s="182"/>
      <c r="C107" s="183"/>
      <c r="D107" s="184"/>
      <c r="E107" s="206"/>
      <c r="F107" s="207" t="s">
        <v>46</v>
      </c>
      <c r="G107" s="208" t="s">
        <v>394</v>
      </c>
      <c r="H107" s="603"/>
      <c r="I107" s="189" t="s">
        <v>174</v>
      </c>
      <c r="J107" s="636">
        <v>1000000000</v>
      </c>
      <c r="K107" s="190">
        <v>1000000000</v>
      </c>
      <c r="L107" s="191"/>
      <c r="M107" s="191"/>
      <c r="N107" s="191"/>
      <c r="O107" s="587" t="s">
        <v>151</v>
      </c>
      <c r="P107" s="191">
        <v>1000000000</v>
      </c>
      <c r="Q107" s="192" t="s">
        <v>151</v>
      </c>
    </row>
    <row r="108" spans="2:17" s="192" customFormat="1" ht="15.75" customHeight="1" x14ac:dyDescent="0.25">
      <c r="B108" s="182"/>
      <c r="C108" s="183"/>
      <c r="D108" s="184"/>
      <c r="E108" s="206"/>
      <c r="F108" s="207" t="s">
        <v>46</v>
      </c>
      <c r="G108" s="208" t="s">
        <v>152</v>
      </c>
      <c r="H108" s="603"/>
      <c r="I108" s="189" t="s">
        <v>399</v>
      </c>
      <c r="J108" s="636">
        <f>1000000000</f>
        <v>1000000000</v>
      </c>
      <c r="K108" s="190">
        <f>1000000000</f>
        <v>1000000000</v>
      </c>
      <c r="L108" s="191"/>
      <c r="M108" s="191"/>
      <c r="N108" s="191"/>
      <c r="O108" s="587" t="s">
        <v>151</v>
      </c>
      <c r="P108" s="191">
        <v>1000000000</v>
      </c>
      <c r="Q108" s="192" t="s">
        <v>151</v>
      </c>
    </row>
    <row r="109" spans="2:17" s="192" customFormat="1" ht="15.75" customHeight="1" x14ac:dyDescent="0.25">
      <c r="B109" s="182"/>
      <c r="C109" s="183"/>
      <c r="D109" s="184"/>
      <c r="E109" s="206"/>
      <c r="F109" s="207" t="s">
        <v>46</v>
      </c>
      <c r="G109" s="208" t="s">
        <v>152</v>
      </c>
      <c r="H109" s="603"/>
      <c r="I109" s="189" t="s">
        <v>399</v>
      </c>
      <c r="J109" s="636">
        <f>2000000000</f>
        <v>2000000000</v>
      </c>
      <c r="K109" s="190">
        <f>2000000000</f>
        <v>2000000000</v>
      </c>
      <c r="L109" s="191"/>
      <c r="M109" s="191"/>
      <c r="N109" s="191"/>
      <c r="O109" s="587" t="s">
        <v>425</v>
      </c>
      <c r="P109" s="191">
        <v>2000000000</v>
      </c>
      <c r="Q109" s="192" t="s">
        <v>425</v>
      </c>
    </row>
    <row r="110" spans="2:17" s="192" customFormat="1" ht="15.75" customHeight="1" x14ac:dyDescent="0.25">
      <c r="B110" s="182"/>
      <c r="C110" s="183"/>
      <c r="D110" s="184"/>
      <c r="E110" s="206"/>
      <c r="F110" s="207" t="s">
        <v>46</v>
      </c>
      <c r="G110" s="208" t="s">
        <v>153</v>
      </c>
      <c r="H110" s="603"/>
      <c r="I110" s="189" t="s">
        <v>399</v>
      </c>
      <c r="J110" s="636">
        <v>3200000000</v>
      </c>
      <c r="K110" s="190">
        <v>3200000000</v>
      </c>
      <c r="L110" s="191"/>
      <c r="M110" s="191"/>
      <c r="N110" s="191"/>
      <c r="O110" s="587" t="s">
        <v>154</v>
      </c>
      <c r="P110" s="191">
        <v>3200000000</v>
      </c>
      <c r="Q110" s="192" t="s">
        <v>154</v>
      </c>
    </row>
    <row r="111" spans="2:17" s="62" customFormat="1" ht="26.25" customHeight="1" x14ac:dyDescent="0.25">
      <c r="B111" s="59"/>
      <c r="C111" s="39"/>
      <c r="D111" s="109"/>
      <c r="E111" s="88" t="s">
        <v>443</v>
      </c>
      <c r="F111" s="1579" t="s">
        <v>155</v>
      </c>
      <c r="G111" s="1580"/>
      <c r="H111" s="173" t="s">
        <v>156</v>
      </c>
      <c r="I111" s="200" t="s">
        <v>141</v>
      </c>
      <c r="J111" s="626">
        <f>SUM(J112:J113)</f>
        <v>13500000000</v>
      </c>
      <c r="K111" s="117">
        <f>SUM(K112:K113)</f>
        <v>13500000000</v>
      </c>
      <c r="L111" s="118"/>
      <c r="M111" s="118"/>
      <c r="N111" s="118"/>
      <c r="O111" s="586"/>
      <c r="P111" s="118"/>
    </row>
    <row r="112" spans="2:17" s="113" customFormat="1" ht="13.5" customHeight="1" x14ac:dyDescent="0.25">
      <c r="B112" s="59"/>
      <c r="C112" s="127"/>
      <c r="D112" s="128"/>
      <c r="E112" s="115"/>
      <c r="F112" s="174" t="s">
        <v>46</v>
      </c>
      <c r="G112" s="175" t="s">
        <v>157</v>
      </c>
      <c r="H112" s="602"/>
      <c r="I112" s="116" t="s">
        <v>111</v>
      </c>
      <c r="J112" s="635">
        <v>7500000000</v>
      </c>
      <c r="K112" s="177">
        <v>7500000000</v>
      </c>
      <c r="L112" s="178"/>
      <c r="M112" s="178"/>
      <c r="N112" s="178"/>
      <c r="O112" s="585"/>
      <c r="P112" s="178"/>
    </row>
    <row r="113" spans="2:17" s="133" customFormat="1" x14ac:dyDescent="0.25">
      <c r="B113" s="59"/>
      <c r="C113" s="194"/>
      <c r="D113" s="195"/>
      <c r="E113" s="204"/>
      <c r="F113" s="196" t="s">
        <v>46</v>
      </c>
      <c r="G113" s="209" t="s">
        <v>158</v>
      </c>
      <c r="H113" s="605"/>
      <c r="I113" s="205" t="s">
        <v>111</v>
      </c>
      <c r="J113" s="637">
        <v>6000000000</v>
      </c>
      <c r="K113" s="198">
        <v>6000000000</v>
      </c>
      <c r="L113" s="199"/>
      <c r="M113" s="199"/>
      <c r="N113" s="199"/>
      <c r="O113" s="588"/>
      <c r="P113" s="199"/>
    </row>
    <row r="114" spans="2:17" s="62" customFormat="1" ht="24.75" customHeight="1" x14ac:dyDescent="0.25">
      <c r="B114" s="59"/>
      <c r="C114" s="39"/>
      <c r="D114" s="109"/>
      <c r="E114" s="88" t="s">
        <v>444</v>
      </c>
      <c r="F114" s="1577" t="s">
        <v>160</v>
      </c>
      <c r="G114" s="1578"/>
      <c r="H114" s="165" t="s">
        <v>161</v>
      </c>
      <c r="I114" s="200" t="s">
        <v>400</v>
      </c>
      <c r="J114" s="630">
        <f>SUM(J115:J118)</f>
        <v>14450000000</v>
      </c>
      <c r="K114" s="146">
        <f>SUM(K115:K118)</f>
        <v>14450000000</v>
      </c>
      <c r="L114" s="147"/>
      <c r="M114" s="147"/>
      <c r="N114" s="147"/>
      <c r="O114" s="586"/>
      <c r="P114" s="118"/>
    </row>
    <row r="115" spans="2:17" s="113" customFormat="1" ht="15.75" customHeight="1" x14ac:dyDescent="0.25">
      <c r="B115" s="59"/>
      <c r="C115" s="127"/>
      <c r="D115" s="128"/>
      <c r="E115" s="448"/>
      <c r="F115" s="174" t="s">
        <v>46</v>
      </c>
      <c r="G115" s="139" t="s">
        <v>162</v>
      </c>
      <c r="H115" s="602"/>
      <c r="I115" s="176" t="s">
        <v>148</v>
      </c>
      <c r="J115" s="635">
        <v>7500000000</v>
      </c>
      <c r="K115" s="177">
        <v>7500000000</v>
      </c>
      <c r="L115" s="178"/>
      <c r="M115" s="178"/>
      <c r="N115" s="178"/>
      <c r="O115" s="585"/>
      <c r="P115" s="178"/>
    </row>
    <row r="116" spans="2:17" s="113" customFormat="1" ht="15.75" customHeight="1" x14ac:dyDescent="0.25">
      <c r="B116" s="59"/>
      <c r="C116" s="127"/>
      <c r="D116" s="128"/>
      <c r="E116" s="115"/>
      <c r="F116" s="174" t="s">
        <v>46</v>
      </c>
      <c r="G116" s="139" t="s">
        <v>163</v>
      </c>
      <c r="H116" s="602"/>
      <c r="I116" s="176" t="s">
        <v>111</v>
      </c>
      <c r="J116" s="635">
        <v>3000000000</v>
      </c>
      <c r="K116" s="177">
        <v>3000000000</v>
      </c>
      <c r="L116" s="178"/>
      <c r="M116" s="178"/>
      <c r="N116" s="178"/>
      <c r="O116" s="585"/>
      <c r="P116" s="178"/>
    </row>
    <row r="117" spans="2:17" s="133" customFormat="1" ht="27" customHeight="1" x14ac:dyDescent="0.25">
      <c r="B117" s="59"/>
      <c r="C117" s="194"/>
      <c r="D117" s="195"/>
      <c r="E117" s="204"/>
      <c r="F117" s="210" t="s">
        <v>46</v>
      </c>
      <c r="G117" s="211" t="s">
        <v>164</v>
      </c>
      <c r="H117" s="605"/>
      <c r="I117" s="197" t="s">
        <v>165</v>
      </c>
      <c r="J117" s="637">
        <v>3500000000</v>
      </c>
      <c r="K117" s="198">
        <v>3500000000</v>
      </c>
      <c r="L117" s="199"/>
      <c r="M117" s="199"/>
      <c r="N117" s="199"/>
      <c r="O117" s="588"/>
      <c r="P117" s="199"/>
    </row>
    <row r="118" spans="2:17" s="192" customFormat="1" ht="18" customHeight="1" x14ac:dyDescent="0.25">
      <c r="B118" s="182"/>
      <c r="C118" s="183"/>
      <c r="D118" s="184"/>
      <c r="E118" s="206"/>
      <c r="F118" s="212"/>
      <c r="G118" s="213" t="s">
        <v>162</v>
      </c>
      <c r="H118" s="603"/>
      <c r="I118" s="189" t="s">
        <v>395</v>
      </c>
      <c r="J118" s="636">
        <v>450000000</v>
      </c>
      <c r="K118" s="190">
        <v>450000000</v>
      </c>
      <c r="L118" s="191"/>
      <c r="M118" s="191"/>
      <c r="N118" s="191"/>
      <c r="O118" s="587" t="s">
        <v>166</v>
      </c>
      <c r="P118" s="191">
        <v>450000000</v>
      </c>
      <c r="Q118" s="192" t="s">
        <v>166</v>
      </c>
    </row>
    <row r="119" spans="2:17" s="62" customFormat="1" ht="27" customHeight="1" x14ac:dyDescent="0.25">
      <c r="B119" s="59"/>
      <c r="C119" s="598"/>
      <c r="D119" s="599"/>
      <c r="E119" s="697" t="s">
        <v>445</v>
      </c>
      <c r="F119" s="1546" t="s">
        <v>167</v>
      </c>
      <c r="G119" s="1547"/>
      <c r="H119" s="698" t="s">
        <v>168</v>
      </c>
      <c r="I119" s="710" t="s">
        <v>405</v>
      </c>
      <c r="J119" s="711">
        <f>SUM(J120:J124)</f>
        <v>11065000000</v>
      </c>
      <c r="K119" s="712">
        <f>SUM(K120:K124)</f>
        <v>11565000000</v>
      </c>
      <c r="L119" s="999"/>
      <c r="M119" s="999"/>
      <c r="N119" s="147"/>
      <c r="O119" s="589"/>
      <c r="P119" s="118"/>
      <c r="Q119" s="179"/>
    </row>
    <row r="120" spans="2:17" s="113" customFormat="1" x14ac:dyDescent="0.25">
      <c r="B120" s="59"/>
      <c r="C120" s="127"/>
      <c r="D120" s="128"/>
      <c r="E120" s="115"/>
      <c r="F120" s="174" t="s">
        <v>46</v>
      </c>
      <c r="G120" s="175" t="s">
        <v>150</v>
      </c>
      <c r="H120" s="602"/>
      <c r="I120" s="116" t="s">
        <v>159</v>
      </c>
      <c r="J120" s="635">
        <v>4000000000</v>
      </c>
      <c r="K120" s="177">
        <v>4000000000</v>
      </c>
      <c r="L120" s="178"/>
      <c r="M120" s="178"/>
      <c r="N120" s="178"/>
      <c r="O120" s="585"/>
      <c r="P120" s="178"/>
    </row>
    <row r="121" spans="2:17" s="113" customFormat="1" x14ac:dyDescent="0.25">
      <c r="B121" s="59"/>
      <c r="C121" s="127"/>
      <c r="D121" s="128"/>
      <c r="E121" s="115"/>
      <c r="F121" s="174" t="s">
        <v>46</v>
      </c>
      <c r="G121" s="175" t="s">
        <v>169</v>
      </c>
      <c r="H121" s="602"/>
      <c r="I121" s="116" t="s">
        <v>148</v>
      </c>
      <c r="J121" s="635">
        <v>6000000000</v>
      </c>
      <c r="K121" s="177">
        <v>6000000000</v>
      </c>
      <c r="L121" s="178"/>
      <c r="M121" s="178"/>
      <c r="N121" s="178"/>
      <c r="O121" s="585"/>
      <c r="P121" s="178"/>
    </row>
    <row r="122" spans="2:17" s="113" customFormat="1" ht="15.75" customHeight="1" x14ac:dyDescent="0.25">
      <c r="B122" s="703"/>
      <c r="C122" s="127"/>
      <c r="D122" s="128"/>
      <c r="E122" s="129"/>
      <c r="F122" s="704" t="s">
        <v>46</v>
      </c>
      <c r="G122" s="175" t="s">
        <v>170</v>
      </c>
      <c r="H122" s="602"/>
      <c r="I122" s="705" t="s">
        <v>401</v>
      </c>
      <c r="J122" s="635">
        <v>0</v>
      </c>
      <c r="K122" s="702">
        <v>500000000</v>
      </c>
      <c r="L122" s="997"/>
      <c r="M122" s="997"/>
      <c r="N122" s="178"/>
      <c r="O122" s="585"/>
      <c r="P122" s="178"/>
    </row>
    <row r="123" spans="2:17" s="192" customFormat="1" ht="15.75" customHeight="1" x14ac:dyDescent="0.25">
      <c r="B123" s="182"/>
      <c r="C123" s="183"/>
      <c r="D123" s="184"/>
      <c r="E123" s="206"/>
      <c r="F123" s="212" t="s">
        <v>46</v>
      </c>
      <c r="G123" s="208" t="s">
        <v>170</v>
      </c>
      <c r="H123" s="603"/>
      <c r="I123" s="214" t="s">
        <v>401</v>
      </c>
      <c r="J123" s="636">
        <v>850000000</v>
      </c>
      <c r="K123" s="190">
        <v>850000000</v>
      </c>
      <c r="L123" s="191"/>
      <c r="M123" s="191"/>
      <c r="N123" s="191"/>
      <c r="O123" s="587" t="s">
        <v>134</v>
      </c>
      <c r="P123" s="191">
        <v>850000000</v>
      </c>
      <c r="Q123" s="192" t="s">
        <v>134</v>
      </c>
    </row>
    <row r="124" spans="2:17" s="192" customFormat="1" ht="15.75" customHeight="1" x14ac:dyDescent="0.25">
      <c r="B124" s="182"/>
      <c r="C124" s="183"/>
      <c r="D124" s="184"/>
      <c r="E124" s="206"/>
      <c r="F124" s="212" t="s">
        <v>46</v>
      </c>
      <c r="G124" s="208" t="s">
        <v>150</v>
      </c>
      <c r="H124" s="603"/>
      <c r="I124" s="215" t="s">
        <v>402</v>
      </c>
      <c r="J124" s="636">
        <v>215000000</v>
      </c>
      <c r="K124" s="190">
        <v>215000000</v>
      </c>
      <c r="L124" s="191"/>
      <c r="M124" s="191"/>
      <c r="N124" s="191"/>
      <c r="O124" s="587" t="s">
        <v>171</v>
      </c>
      <c r="P124" s="191">
        <v>215000000</v>
      </c>
      <c r="Q124" s="192" t="s">
        <v>171</v>
      </c>
    </row>
    <row r="125" spans="2:17" s="62" customFormat="1" ht="31.5" customHeight="1" x14ac:dyDescent="0.25">
      <c r="B125" s="59"/>
      <c r="C125" s="39"/>
      <c r="D125" s="109"/>
      <c r="E125" s="88" t="s">
        <v>446</v>
      </c>
      <c r="F125" s="1577" t="s">
        <v>172</v>
      </c>
      <c r="G125" s="1578"/>
      <c r="H125" s="173" t="s">
        <v>173</v>
      </c>
      <c r="I125" s="200" t="str">
        <f>I126</f>
        <v>0,5 Km</v>
      </c>
      <c r="J125" s="630">
        <f>J126</f>
        <v>3000000000</v>
      </c>
      <c r="K125" s="146">
        <f>K126</f>
        <v>3000000000</v>
      </c>
      <c r="L125" s="147"/>
      <c r="M125" s="147"/>
      <c r="N125" s="147"/>
      <c r="O125" s="586"/>
      <c r="P125" s="118"/>
    </row>
    <row r="126" spans="2:17" s="113" customFormat="1" x14ac:dyDescent="0.25">
      <c r="B126" s="59"/>
      <c r="C126" s="127"/>
      <c r="D126" s="128"/>
      <c r="E126" s="115"/>
      <c r="F126" s="130" t="s">
        <v>46</v>
      </c>
      <c r="G126" s="175" t="s">
        <v>175</v>
      </c>
      <c r="H126" s="602"/>
      <c r="I126" s="176" t="s">
        <v>144</v>
      </c>
      <c r="J126" s="627">
        <v>3000000000</v>
      </c>
      <c r="K126" s="125">
        <v>3000000000</v>
      </c>
      <c r="L126" s="126"/>
      <c r="M126" s="126"/>
      <c r="N126" s="126"/>
      <c r="O126" s="585"/>
      <c r="P126" s="126"/>
    </row>
    <row r="127" spans="2:17" s="113" customFormat="1" ht="29.25" customHeight="1" x14ac:dyDescent="0.25">
      <c r="B127" s="59"/>
      <c r="C127" s="39"/>
      <c r="D127" s="109"/>
      <c r="E127" s="88" t="s">
        <v>447</v>
      </c>
      <c r="F127" s="1577" t="s">
        <v>176</v>
      </c>
      <c r="G127" s="1578"/>
      <c r="H127" s="173" t="s">
        <v>177</v>
      </c>
      <c r="I127" s="200" t="str">
        <f>I128</f>
        <v>0,9 Km</v>
      </c>
      <c r="J127" s="625">
        <f>SUM(J128)</f>
        <v>5000000000</v>
      </c>
      <c r="K127" s="111">
        <f>SUM(K128)</f>
        <v>5000000000</v>
      </c>
      <c r="L127" s="112"/>
      <c r="M127" s="112"/>
      <c r="N127" s="112"/>
      <c r="O127" s="585"/>
      <c r="P127" s="112"/>
    </row>
    <row r="128" spans="2:17" s="113" customFormat="1" ht="15.75" customHeight="1" x14ac:dyDescent="0.25">
      <c r="B128" s="59"/>
      <c r="C128" s="127"/>
      <c r="D128" s="128"/>
      <c r="E128" s="216"/>
      <c r="F128" s="130" t="s">
        <v>46</v>
      </c>
      <c r="G128" s="175" t="s">
        <v>178</v>
      </c>
      <c r="H128" s="602"/>
      <c r="I128" s="217" t="s">
        <v>396</v>
      </c>
      <c r="J128" s="638">
        <v>5000000000</v>
      </c>
      <c r="K128" s="218">
        <v>5000000000</v>
      </c>
      <c r="L128" s="219"/>
      <c r="M128" s="219"/>
      <c r="N128" s="219"/>
      <c r="O128" s="585"/>
      <c r="P128" s="493"/>
    </row>
    <row r="129" spans="2:19" s="113" customFormat="1" ht="24" customHeight="1" x14ac:dyDescent="0.25">
      <c r="B129" s="59"/>
      <c r="C129" s="39"/>
      <c r="D129" s="109"/>
      <c r="E129" s="88" t="s">
        <v>389</v>
      </c>
      <c r="F129" s="1577" t="s">
        <v>179</v>
      </c>
      <c r="G129" s="1578"/>
      <c r="H129" s="173" t="s">
        <v>180</v>
      </c>
      <c r="I129" s="200" t="str">
        <f>I130</f>
        <v>1,1 Km</v>
      </c>
      <c r="J129" s="625">
        <f>SUM(J130)</f>
        <v>12000000000</v>
      </c>
      <c r="K129" s="111">
        <f>SUM(K130)</f>
        <v>12000000000</v>
      </c>
      <c r="L129" s="112"/>
      <c r="M129" s="112"/>
      <c r="N129" s="112"/>
      <c r="O129" s="585"/>
      <c r="P129" s="112"/>
    </row>
    <row r="130" spans="2:19" s="113" customFormat="1" ht="13.5" customHeight="1" x14ac:dyDescent="0.25">
      <c r="B130" s="59"/>
      <c r="C130" s="127"/>
      <c r="D130" s="128"/>
      <c r="E130" s="115"/>
      <c r="F130" s="130" t="s">
        <v>46</v>
      </c>
      <c r="G130" s="220" t="s">
        <v>468</v>
      </c>
      <c r="H130" s="602"/>
      <c r="I130" s="176" t="s">
        <v>406</v>
      </c>
      <c r="J130" s="635">
        <v>12000000000</v>
      </c>
      <c r="K130" s="177">
        <v>12000000000</v>
      </c>
      <c r="L130" s="178"/>
      <c r="M130" s="178"/>
      <c r="N130" s="178"/>
      <c r="O130" s="585"/>
      <c r="P130" s="178"/>
    </row>
    <row r="131" spans="2:19" s="62" customFormat="1" ht="27.75" customHeight="1" x14ac:dyDescent="0.25">
      <c r="B131" s="59"/>
      <c r="C131" s="39"/>
      <c r="D131" s="109"/>
      <c r="E131" s="88" t="s">
        <v>448</v>
      </c>
      <c r="F131" s="1577" t="s">
        <v>181</v>
      </c>
      <c r="G131" s="1578"/>
      <c r="H131" s="173" t="s">
        <v>182</v>
      </c>
      <c r="I131" s="200" t="s">
        <v>462</v>
      </c>
      <c r="J131" s="626">
        <f>SUM(J132:J135)</f>
        <v>8700000000</v>
      </c>
      <c r="K131" s="117">
        <f>SUM(K132:K135)</f>
        <v>8700000000</v>
      </c>
      <c r="L131" s="118"/>
      <c r="M131" s="118"/>
      <c r="N131" s="118"/>
      <c r="O131" s="589"/>
      <c r="P131" s="118"/>
      <c r="Q131" s="179"/>
    </row>
    <row r="132" spans="2:19" s="113" customFormat="1" x14ac:dyDescent="0.25">
      <c r="B132" s="59"/>
      <c r="C132" s="127"/>
      <c r="D132" s="128"/>
      <c r="E132" s="115"/>
      <c r="F132" s="174" t="s">
        <v>46</v>
      </c>
      <c r="G132" s="175" t="s">
        <v>424</v>
      </c>
      <c r="H132" s="602"/>
      <c r="I132" s="176" t="s">
        <v>451</v>
      </c>
      <c r="J132" s="635">
        <v>3000000000</v>
      </c>
      <c r="K132" s="177">
        <v>3000000000</v>
      </c>
      <c r="L132" s="178"/>
      <c r="M132" s="178"/>
      <c r="N132" s="178"/>
      <c r="O132" s="585"/>
      <c r="P132" s="178"/>
    </row>
    <row r="133" spans="2:19" s="113" customFormat="1" x14ac:dyDescent="0.25">
      <c r="B133" s="59"/>
      <c r="C133" s="127"/>
      <c r="D133" s="128"/>
      <c r="E133" s="115"/>
      <c r="F133" s="174" t="s">
        <v>46</v>
      </c>
      <c r="G133" s="175" t="s">
        <v>183</v>
      </c>
      <c r="H133" s="602"/>
      <c r="I133" s="483" t="s">
        <v>395</v>
      </c>
      <c r="J133" s="635">
        <v>500000000</v>
      </c>
      <c r="K133" s="177">
        <v>500000000</v>
      </c>
      <c r="L133" s="178"/>
      <c r="M133" s="178"/>
      <c r="N133" s="178"/>
      <c r="O133" s="585"/>
      <c r="P133" s="178"/>
    </row>
    <row r="134" spans="2:19" s="192" customFormat="1" x14ac:dyDescent="0.25">
      <c r="B134" s="59"/>
      <c r="C134" s="183"/>
      <c r="D134" s="184"/>
      <c r="E134" s="206"/>
      <c r="F134" s="221" t="s">
        <v>46</v>
      </c>
      <c r="G134" s="208" t="s">
        <v>183</v>
      </c>
      <c r="H134" s="603"/>
      <c r="I134" s="203" t="s">
        <v>159</v>
      </c>
      <c r="J134" s="636">
        <v>4000000000</v>
      </c>
      <c r="K134" s="190">
        <v>4000000000</v>
      </c>
      <c r="L134" s="191"/>
      <c r="M134" s="191"/>
      <c r="N134" s="191"/>
      <c r="O134" s="587" t="s">
        <v>184</v>
      </c>
      <c r="P134" s="191">
        <v>4000000000</v>
      </c>
      <c r="Q134" s="192" t="s">
        <v>184</v>
      </c>
    </row>
    <row r="135" spans="2:19" s="192" customFormat="1" x14ac:dyDescent="0.25">
      <c r="B135" s="182"/>
      <c r="C135" s="183"/>
      <c r="D135" s="184"/>
      <c r="E135" s="222"/>
      <c r="F135" s="223" t="s">
        <v>46</v>
      </c>
      <c r="G135" s="208" t="s">
        <v>183</v>
      </c>
      <c r="H135" s="606"/>
      <c r="I135" s="478" t="s">
        <v>174</v>
      </c>
      <c r="J135" s="636">
        <v>1200000000</v>
      </c>
      <c r="K135" s="190">
        <v>1200000000</v>
      </c>
      <c r="L135" s="191"/>
      <c r="M135" s="191"/>
      <c r="N135" s="191"/>
      <c r="O135" s="587" t="s">
        <v>185</v>
      </c>
      <c r="P135" s="191">
        <v>1200000000</v>
      </c>
      <c r="Q135" s="192" t="s">
        <v>185</v>
      </c>
    </row>
    <row r="136" spans="2:19" s="29" customFormat="1" ht="26.25" customHeight="1" x14ac:dyDescent="0.25">
      <c r="B136" s="13"/>
      <c r="C136" s="39"/>
      <c r="D136" s="109"/>
      <c r="E136" s="88" t="s">
        <v>449</v>
      </c>
      <c r="F136" s="1579" t="s">
        <v>186</v>
      </c>
      <c r="G136" s="1580"/>
      <c r="H136" s="173" t="s">
        <v>187</v>
      </c>
      <c r="I136" s="224" t="s">
        <v>463</v>
      </c>
      <c r="J136" s="630">
        <f>SUM(J137:J140)</f>
        <v>11500000000</v>
      </c>
      <c r="K136" s="146">
        <f>SUM(K137:K140)</f>
        <v>11500000000</v>
      </c>
      <c r="L136" s="147"/>
      <c r="M136" s="147"/>
      <c r="N136" s="147"/>
      <c r="O136" s="590"/>
      <c r="P136" s="118"/>
    </row>
    <row r="137" spans="2:19" s="113" customFormat="1" ht="15.75" customHeight="1" x14ac:dyDescent="0.25">
      <c r="B137" s="59"/>
      <c r="C137" s="127"/>
      <c r="D137" s="128"/>
      <c r="E137" s="115"/>
      <c r="F137" s="225" t="s">
        <v>46</v>
      </c>
      <c r="G137" s="139" t="s">
        <v>423</v>
      </c>
      <c r="H137" s="602"/>
      <c r="I137" s="176" t="s">
        <v>111</v>
      </c>
      <c r="J137" s="639">
        <v>2000000000</v>
      </c>
      <c r="K137" s="226">
        <v>2000000000</v>
      </c>
      <c r="L137" s="227"/>
      <c r="M137" s="227"/>
      <c r="N137" s="227"/>
      <c r="O137" s="585"/>
      <c r="P137" s="126"/>
    </row>
    <row r="138" spans="2:19" s="113" customFormat="1" ht="15" customHeight="1" x14ac:dyDescent="0.25">
      <c r="B138" s="59"/>
      <c r="C138" s="127"/>
      <c r="D138" s="128"/>
      <c r="E138" s="115"/>
      <c r="F138" s="130" t="s">
        <v>46</v>
      </c>
      <c r="G138" s="201" t="s">
        <v>140</v>
      </c>
      <c r="H138" s="602"/>
      <c r="I138" s="116" t="s">
        <v>141</v>
      </c>
      <c r="J138" s="635">
        <v>7500000000</v>
      </c>
      <c r="K138" s="177">
        <v>7500000000</v>
      </c>
      <c r="L138" s="178"/>
      <c r="M138" s="178"/>
      <c r="N138" s="178"/>
      <c r="O138" s="585"/>
      <c r="P138" s="178"/>
    </row>
    <row r="139" spans="2:19" s="192" customFormat="1" ht="15" customHeight="1" x14ac:dyDescent="0.25">
      <c r="B139" s="182"/>
      <c r="C139" s="183"/>
      <c r="D139" s="184"/>
      <c r="E139" s="185"/>
      <c r="F139" s="186"/>
      <c r="G139" s="202" t="s">
        <v>188</v>
      </c>
      <c r="H139" s="603"/>
      <c r="I139" s="203" t="s">
        <v>144</v>
      </c>
      <c r="J139" s="636">
        <f>1000000000</f>
        <v>1000000000</v>
      </c>
      <c r="K139" s="190">
        <f>1000000000</f>
        <v>1000000000</v>
      </c>
      <c r="L139" s="191"/>
      <c r="M139" s="191"/>
      <c r="N139" s="191"/>
      <c r="O139" s="587" t="s">
        <v>421</v>
      </c>
      <c r="P139" s="191">
        <v>1000000000</v>
      </c>
      <c r="Q139" s="192" t="s">
        <v>421</v>
      </c>
    </row>
    <row r="140" spans="2:19" s="192" customFormat="1" ht="15" customHeight="1" x14ac:dyDescent="0.25">
      <c r="B140" s="182"/>
      <c r="C140" s="183"/>
      <c r="D140" s="184"/>
      <c r="E140" s="185"/>
      <c r="F140" s="186"/>
      <c r="G140" s="202" t="s">
        <v>188</v>
      </c>
      <c r="H140" s="603"/>
      <c r="I140" s="203" t="s">
        <v>144</v>
      </c>
      <c r="J140" s="636">
        <f>1000000000</f>
        <v>1000000000</v>
      </c>
      <c r="K140" s="190">
        <f>1000000000</f>
        <v>1000000000</v>
      </c>
      <c r="L140" s="191"/>
      <c r="M140" s="191"/>
      <c r="N140" s="191"/>
      <c r="O140" s="587" t="s">
        <v>422</v>
      </c>
      <c r="P140" s="191">
        <v>1000000000</v>
      </c>
      <c r="Q140" s="192" t="s">
        <v>422</v>
      </c>
    </row>
    <row r="141" spans="2:19" ht="3.75" customHeight="1" x14ac:dyDescent="0.25">
      <c r="C141" s="471"/>
      <c r="D141" s="375"/>
      <c r="E141" s="96"/>
      <c r="F141" s="472"/>
      <c r="G141" s="473"/>
      <c r="H141" s="474"/>
      <c r="I141" s="475"/>
      <c r="J141" s="640"/>
      <c r="K141" s="476"/>
      <c r="L141" s="1000"/>
      <c r="M141" s="1000"/>
      <c r="N141" s="228"/>
      <c r="O141" s="594"/>
      <c r="P141" s="494"/>
      <c r="Q141" s="229"/>
      <c r="S141" s="230"/>
    </row>
    <row r="142" spans="2:19" s="15" customFormat="1" ht="22.5" customHeight="1" x14ac:dyDescent="0.25">
      <c r="B142" s="13"/>
      <c r="C142" s="1506" t="s">
        <v>452</v>
      </c>
      <c r="D142" s="1507"/>
      <c r="E142" s="1558" t="s">
        <v>189</v>
      </c>
      <c r="F142" s="1559"/>
      <c r="G142" s="1560"/>
      <c r="H142" s="231" t="s">
        <v>190</v>
      </c>
      <c r="I142" s="232"/>
      <c r="J142" s="641">
        <f>J143+J144+J145+J146+J150+J151+J152+J153+J154+J155+J156+J160+J161+J162+J163+J164+J165+J166</f>
        <v>61485840000</v>
      </c>
      <c r="K142" s="233">
        <f>K143+K144+K145+K146+K150+K151+K152+K153+K154+K155+K156+K160+K161+K162+K163+K164+K165+K166</f>
        <v>58285840000</v>
      </c>
      <c r="L142" s="1001"/>
      <c r="M142" s="1001"/>
      <c r="N142" s="26"/>
      <c r="O142" s="596"/>
      <c r="P142" s="495"/>
      <c r="Q142" s="234"/>
      <c r="R142" s="21"/>
    </row>
    <row r="143" spans="2:19" s="29" customFormat="1" ht="18" customHeight="1" x14ac:dyDescent="0.25">
      <c r="B143" s="13"/>
      <c r="C143" s="49"/>
      <c r="D143" s="79"/>
      <c r="E143" s="77" t="s">
        <v>5</v>
      </c>
      <c r="F143" s="1575" t="s">
        <v>191</v>
      </c>
      <c r="G143" s="1576"/>
      <c r="H143" s="235" t="s">
        <v>192</v>
      </c>
      <c r="I143" s="236" t="s">
        <v>471</v>
      </c>
      <c r="J143" s="642">
        <v>2135760000</v>
      </c>
      <c r="K143" s="237">
        <v>2135760000</v>
      </c>
      <c r="L143" s="238"/>
      <c r="M143" s="238"/>
      <c r="N143" s="238"/>
      <c r="O143" s="595"/>
      <c r="P143" s="496"/>
      <c r="Q143" s="148"/>
    </row>
    <row r="144" spans="2:19" s="29" customFormat="1" ht="21" customHeight="1" x14ac:dyDescent="0.25">
      <c r="B144" s="13"/>
      <c r="C144" s="49"/>
      <c r="D144" s="79"/>
      <c r="E144" s="77" t="s">
        <v>10</v>
      </c>
      <c r="F144" s="1569" t="s">
        <v>193</v>
      </c>
      <c r="G144" s="1570"/>
      <c r="H144" s="235" t="s">
        <v>194</v>
      </c>
      <c r="I144" s="236" t="s">
        <v>403</v>
      </c>
      <c r="J144" s="642">
        <v>2422200000</v>
      </c>
      <c r="K144" s="237">
        <v>2422200000</v>
      </c>
      <c r="L144" s="238"/>
      <c r="M144" s="238"/>
      <c r="N144" s="238"/>
      <c r="O144" s="591"/>
      <c r="P144" s="496"/>
      <c r="Q144" s="63"/>
      <c r="R144" s="28"/>
    </row>
    <row r="145" spans="2:19" s="29" customFormat="1" ht="24.75" customHeight="1" x14ac:dyDescent="0.25">
      <c r="B145" s="13"/>
      <c r="C145" s="39"/>
      <c r="D145" s="140"/>
      <c r="E145" s="109" t="s">
        <v>13</v>
      </c>
      <c r="F145" s="1569" t="s">
        <v>195</v>
      </c>
      <c r="G145" s="1570"/>
      <c r="H145" s="239" t="s">
        <v>196</v>
      </c>
      <c r="I145" s="240" t="s">
        <v>472</v>
      </c>
      <c r="J145" s="643">
        <v>2632740000</v>
      </c>
      <c r="K145" s="241">
        <v>2632740000</v>
      </c>
      <c r="L145" s="238"/>
      <c r="M145" s="238"/>
      <c r="N145" s="238"/>
      <c r="O145" s="591"/>
      <c r="P145" s="496"/>
      <c r="Q145" s="63"/>
      <c r="R145" s="242"/>
    </row>
    <row r="146" spans="2:19" s="29" customFormat="1" ht="29.25" customHeight="1" x14ac:dyDescent="0.25">
      <c r="B146" s="13"/>
      <c r="C146" s="39"/>
      <c r="D146" s="140"/>
      <c r="E146" s="109" t="s">
        <v>16</v>
      </c>
      <c r="F146" s="1569" t="s">
        <v>197</v>
      </c>
      <c r="G146" s="1570"/>
      <c r="H146" s="239" t="s">
        <v>198</v>
      </c>
      <c r="I146" s="240" t="s">
        <v>199</v>
      </c>
      <c r="J146" s="643">
        <f>SUM(J147:J149)</f>
        <v>3884440000</v>
      </c>
      <c r="K146" s="241">
        <f>SUM(K147:K149)</f>
        <v>3884440000</v>
      </c>
      <c r="L146" s="238"/>
      <c r="M146" s="238"/>
      <c r="N146" s="238"/>
      <c r="O146" s="589"/>
      <c r="P146" s="496"/>
      <c r="Q146" s="179"/>
    </row>
    <row r="147" spans="2:19" s="306" customFormat="1" ht="16.5" customHeight="1" x14ac:dyDescent="0.25">
      <c r="B147" s="461"/>
      <c r="C147" s="462"/>
      <c r="D147" s="463"/>
      <c r="E147" s="341"/>
      <c r="F147" s="464" t="s">
        <v>46</v>
      </c>
      <c r="G147" s="460" t="s">
        <v>197</v>
      </c>
      <c r="H147" s="465"/>
      <c r="I147" s="466"/>
      <c r="J147" s="644">
        <v>2684440000</v>
      </c>
      <c r="K147" s="467">
        <v>2684440000</v>
      </c>
      <c r="L147" s="1002"/>
      <c r="M147" s="1002"/>
      <c r="N147" s="468"/>
      <c r="O147" s="585"/>
      <c r="P147" s="497"/>
      <c r="Q147" s="113"/>
    </row>
    <row r="148" spans="2:19" s="252" customFormat="1" ht="29.25" customHeight="1" x14ac:dyDescent="0.25">
      <c r="B148" s="243"/>
      <c r="C148" s="244"/>
      <c r="D148" s="245"/>
      <c r="E148" s="246"/>
      <c r="F148" s="247" t="s">
        <v>46</v>
      </c>
      <c r="G148" s="248" t="s">
        <v>337</v>
      </c>
      <c r="H148" s="249"/>
      <c r="I148" s="250"/>
      <c r="J148" s="645">
        <v>200000000</v>
      </c>
      <c r="K148" s="446">
        <v>200000000</v>
      </c>
      <c r="L148" s="1003"/>
      <c r="M148" s="1003"/>
      <c r="N148" s="251"/>
      <c r="O148" s="587" t="s">
        <v>338</v>
      </c>
      <c r="P148" s="498">
        <v>200000000</v>
      </c>
      <c r="Q148" s="192" t="s">
        <v>338</v>
      </c>
    </row>
    <row r="149" spans="2:19" s="252" customFormat="1" ht="25.5" x14ac:dyDescent="0.25">
      <c r="B149" s="243"/>
      <c r="C149" s="253"/>
      <c r="D149" s="184"/>
      <c r="E149" s="254"/>
      <c r="F149" s="255" t="s">
        <v>46</v>
      </c>
      <c r="G149" s="256" t="s">
        <v>200</v>
      </c>
      <c r="H149" s="257"/>
      <c r="I149" s="258"/>
      <c r="J149" s="646">
        <f>1000000000</f>
        <v>1000000000</v>
      </c>
      <c r="K149" s="259">
        <f>1000000000</f>
        <v>1000000000</v>
      </c>
      <c r="L149" s="260"/>
      <c r="M149" s="260"/>
      <c r="N149" s="260"/>
      <c r="O149" s="592" t="s">
        <v>420</v>
      </c>
      <c r="P149" s="499">
        <v>1000000000</v>
      </c>
      <c r="Q149" s="261" t="s">
        <v>420</v>
      </c>
      <c r="S149" s="261"/>
    </row>
    <row r="150" spans="2:19" s="29" customFormat="1" ht="31.5" customHeight="1" x14ac:dyDescent="0.25">
      <c r="B150" s="13"/>
      <c r="C150" s="39"/>
      <c r="D150" s="140"/>
      <c r="E150" s="109" t="s">
        <v>19</v>
      </c>
      <c r="F150" s="1569" t="s">
        <v>391</v>
      </c>
      <c r="G150" s="1570"/>
      <c r="H150" s="239" t="s">
        <v>201</v>
      </c>
      <c r="I150" s="240" t="s">
        <v>474</v>
      </c>
      <c r="J150" s="643">
        <v>2770240000</v>
      </c>
      <c r="K150" s="241">
        <v>2770240000</v>
      </c>
      <c r="L150" s="238"/>
      <c r="M150" s="238"/>
      <c r="N150" s="238"/>
      <c r="O150" s="526"/>
      <c r="P150" s="496"/>
    </row>
    <row r="151" spans="2:19" s="29" customFormat="1" ht="30.75" customHeight="1" x14ac:dyDescent="0.25">
      <c r="B151" s="13"/>
      <c r="C151" s="39"/>
      <c r="D151" s="140"/>
      <c r="E151" s="109" t="s">
        <v>27</v>
      </c>
      <c r="F151" s="1569" t="s">
        <v>202</v>
      </c>
      <c r="G151" s="1570"/>
      <c r="H151" s="239" t="s">
        <v>203</v>
      </c>
      <c r="I151" s="240" t="s">
        <v>475</v>
      </c>
      <c r="J151" s="643">
        <v>1778480000</v>
      </c>
      <c r="K151" s="241">
        <v>1778480000</v>
      </c>
      <c r="L151" s="238"/>
      <c r="M151" s="238"/>
      <c r="N151" s="238"/>
      <c r="O151" s="526"/>
      <c r="P151" s="496"/>
    </row>
    <row r="152" spans="2:19" s="29" customFormat="1" ht="18" customHeight="1" x14ac:dyDescent="0.25">
      <c r="B152" s="13"/>
      <c r="C152" s="39"/>
      <c r="D152" s="140"/>
      <c r="E152" s="109" t="s">
        <v>30</v>
      </c>
      <c r="F152" s="1569" t="s">
        <v>204</v>
      </c>
      <c r="G152" s="1570"/>
      <c r="H152" s="239" t="s">
        <v>205</v>
      </c>
      <c r="I152" s="240" t="s">
        <v>476</v>
      </c>
      <c r="J152" s="643">
        <v>2292620000</v>
      </c>
      <c r="K152" s="241">
        <v>2292620000</v>
      </c>
      <c r="L152" s="238"/>
      <c r="M152" s="238"/>
      <c r="N152" s="238"/>
      <c r="O152" s="526"/>
      <c r="P152" s="496"/>
    </row>
    <row r="153" spans="2:19" s="29" customFormat="1" ht="19.5" customHeight="1" x14ac:dyDescent="0.25">
      <c r="B153" s="13"/>
      <c r="C153" s="39"/>
      <c r="D153" s="140"/>
      <c r="E153" s="109" t="s">
        <v>8</v>
      </c>
      <c r="F153" s="1569" t="s">
        <v>206</v>
      </c>
      <c r="G153" s="1570"/>
      <c r="H153" s="239" t="s">
        <v>207</v>
      </c>
      <c r="I153" s="240" t="s">
        <v>477</v>
      </c>
      <c r="J153" s="643">
        <v>2560360000</v>
      </c>
      <c r="K153" s="241">
        <v>2560360000</v>
      </c>
      <c r="L153" s="238"/>
      <c r="M153" s="238"/>
      <c r="N153" s="238"/>
      <c r="O153" s="526"/>
      <c r="P153" s="496"/>
    </row>
    <row r="154" spans="2:19" s="29" customFormat="1" ht="31.5" customHeight="1" x14ac:dyDescent="0.25">
      <c r="B154" s="13"/>
      <c r="C154" s="39"/>
      <c r="D154" s="140"/>
      <c r="E154" s="109" t="s">
        <v>22</v>
      </c>
      <c r="F154" s="1569" t="s">
        <v>208</v>
      </c>
      <c r="G154" s="1570"/>
      <c r="H154" s="239" t="s">
        <v>209</v>
      </c>
      <c r="I154" s="240" t="s">
        <v>478</v>
      </c>
      <c r="J154" s="643">
        <v>3006520000</v>
      </c>
      <c r="K154" s="241">
        <v>3006520000</v>
      </c>
      <c r="L154" s="238"/>
      <c r="M154" s="238"/>
      <c r="N154" s="238"/>
      <c r="O154" s="526"/>
      <c r="P154" s="496"/>
    </row>
    <row r="155" spans="2:19" s="29" customFormat="1" ht="21" customHeight="1" x14ac:dyDescent="0.25">
      <c r="B155" s="13"/>
      <c r="C155" s="39"/>
      <c r="D155" s="140"/>
      <c r="E155" s="109" t="s">
        <v>210</v>
      </c>
      <c r="F155" s="1569" t="s">
        <v>211</v>
      </c>
      <c r="G155" s="1570"/>
      <c r="H155" s="239" t="s">
        <v>212</v>
      </c>
      <c r="I155" s="240" t="s">
        <v>473</v>
      </c>
      <c r="J155" s="643">
        <v>1980000000</v>
      </c>
      <c r="K155" s="241">
        <v>1980000000</v>
      </c>
      <c r="L155" s="238"/>
      <c r="M155" s="238"/>
      <c r="N155" s="238"/>
      <c r="O155" s="526"/>
      <c r="P155" s="496"/>
    </row>
    <row r="156" spans="2:19" s="29" customFormat="1" ht="27.75" customHeight="1" x14ac:dyDescent="0.25">
      <c r="B156" s="13"/>
      <c r="C156" s="39"/>
      <c r="D156" s="140"/>
      <c r="E156" s="109">
        <v>11</v>
      </c>
      <c r="F156" s="1569" t="s">
        <v>213</v>
      </c>
      <c r="G156" s="1570"/>
      <c r="H156" s="239" t="s">
        <v>214</v>
      </c>
      <c r="I156" s="240" t="s">
        <v>479</v>
      </c>
      <c r="J156" s="643">
        <f>SUM(J157:J159)</f>
        <v>2022480000</v>
      </c>
      <c r="K156" s="241">
        <f>SUM(K157:K159)</f>
        <v>2022480000</v>
      </c>
      <c r="L156" s="238"/>
      <c r="M156" s="238"/>
      <c r="N156" s="238"/>
      <c r="O156" s="526"/>
      <c r="P156" s="496"/>
    </row>
    <row r="157" spans="2:19" s="113" customFormat="1" ht="25.5" customHeight="1" x14ac:dyDescent="0.2">
      <c r="B157" s="262"/>
      <c r="C157" s="263"/>
      <c r="D157" s="156"/>
      <c r="E157" s="157"/>
      <c r="F157" s="264" t="s">
        <v>46</v>
      </c>
      <c r="G157" s="265" t="s">
        <v>213</v>
      </c>
      <c r="H157" s="132"/>
      <c r="I157" s="266"/>
      <c r="J157" s="635">
        <v>1272480000</v>
      </c>
      <c r="K157" s="177">
        <v>1272480000</v>
      </c>
      <c r="L157" s="178"/>
      <c r="M157" s="178"/>
      <c r="N157" s="178"/>
      <c r="O157" s="527"/>
      <c r="P157" s="178"/>
    </row>
    <row r="158" spans="2:19" s="113" customFormat="1" ht="14.25" customHeight="1" x14ac:dyDescent="0.2">
      <c r="B158" s="262"/>
      <c r="C158" s="263"/>
      <c r="D158" s="156"/>
      <c r="E158" s="157"/>
      <c r="F158" s="264" t="s">
        <v>46</v>
      </c>
      <c r="G158" s="265" t="s">
        <v>450</v>
      </c>
      <c r="H158" s="132"/>
      <c r="I158" s="266"/>
      <c r="J158" s="635">
        <v>250000000</v>
      </c>
      <c r="K158" s="177">
        <v>250000000</v>
      </c>
      <c r="L158" s="178"/>
      <c r="M158" s="178"/>
      <c r="N158" s="178"/>
      <c r="O158" s="527"/>
      <c r="P158" s="178"/>
    </row>
    <row r="159" spans="2:19" s="192" customFormat="1" ht="14.25" customHeight="1" x14ac:dyDescent="0.2">
      <c r="B159" s="267"/>
      <c r="C159" s="268"/>
      <c r="D159" s="254"/>
      <c r="E159" s="269"/>
      <c r="F159" s="255" t="s">
        <v>46</v>
      </c>
      <c r="G159" s="270" t="s">
        <v>450</v>
      </c>
      <c r="H159" s="188"/>
      <c r="I159" s="271"/>
      <c r="J159" s="636">
        <v>500000000</v>
      </c>
      <c r="K159" s="190">
        <v>500000000</v>
      </c>
      <c r="L159" s="191"/>
      <c r="M159" s="191"/>
      <c r="N159" s="191"/>
      <c r="O159" s="587" t="s">
        <v>428</v>
      </c>
      <c r="P159" s="191">
        <v>500000000</v>
      </c>
      <c r="Q159" s="192" t="s">
        <v>428</v>
      </c>
    </row>
    <row r="160" spans="2:19" s="29" customFormat="1" ht="20.25" customHeight="1" x14ac:dyDescent="0.25">
      <c r="B160" s="13"/>
      <c r="C160" s="39"/>
      <c r="D160" s="140"/>
      <c r="E160" s="109">
        <v>12</v>
      </c>
      <c r="F160" s="1569" t="s">
        <v>215</v>
      </c>
      <c r="G160" s="1570"/>
      <c r="H160" s="239" t="s">
        <v>216</v>
      </c>
      <c r="I160" s="240" t="s">
        <v>217</v>
      </c>
      <c r="J160" s="643">
        <f>500000000+300000000</f>
        <v>800000000</v>
      </c>
      <c r="K160" s="241">
        <f>500000000+300000000</f>
        <v>800000000</v>
      </c>
      <c r="L160" s="238"/>
      <c r="M160" s="238"/>
      <c r="N160" s="238"/>
      <c r="O160" s="526"/>
      <c r="P160" s="496"/>
    </row>
    <row r="161" spans="2:19" s="29" customFormat="1" ht="19.5" customHeight="1" x14ac:dyDescent="0.25">
      <c r="B161" s="13"/>
      <c r="C161" s="39"/>
      <c r="D161" s="140"/>
      <c r="E161" s="109">
        <v>13</v>
      </c>
      <c r="F161" s="1569" t="s">
        <v>218</v>
      </c>
      <c r="G161" s="1570"/>
      <c r="H161" s="239" t="s">
        <v>219</v>
      </c>
      <c r="I161" s="240" t="s">
        <v>393</v>
      </c>
      <c r="J161" s="643">
        <v>4000000000</v>
      </c>
      <c r="K161" s="241">
        <v>4000000000</v>
      </c>
      <c r="L161" s="238"/>
      <c r="M161" s="238"/>
      <c r="N161" s="238"/>
      <c r="O161" s="526"/>
      <c r="P161" s="496"/>
    </row>
    <row r="162" spans="2:19" s="29" customFormat="1" ht="24" customHeight="1" x14ac:dyDescent="0.25">
      <c r="B162" s="13"/>
      <c r="C162" s="598"/>
      <c r="D162" s="599"/>
      <c r="E162" s="684">
        <v>14</v>
      </c>
      <c r="F162" s="1571" t="s">
        <v>229</v>
      </c>
      <c r="G162" s="1572"/>
      <c r="H162" s="689" t="s">
        <v>230</v>
      </c>
      <c r="I162" s="690" t="s">
        <v>111</v>
      </c>
      <c r="J162" s="691">
        <f>2000000000-300000000</f>
        <v>1700000000</v>
      </c>
      <c r="K162" s="692">
        <v>0</v>
      </c>
      <c r="L162" s="1004"/>
      <c r="M162" s="1004"/>
      <c r="N162" s="238"/>
      <c r="O162" s="526"/>
      <c r="P162" s="496"/>
    </row>
    <row r="163" spans="2:19" s="29" customFormat="1" ht="16.5" customHeight="1" x14ac:dyDescent="0.25">
      <c r="B163" s="13"/>
      <c r="C163" s="39"/>
      <c r="D163" s="140"/>
      <c r="E163" s="55">
        <v>15</v>
      </c>
      <c r="F163" s="1569" t="s">
        <v>225</v>
      </c>
      <c r="G163" s="1570"/>
      <c r="H163" s="272" t="s">
        <v>226</v>
      </c>
      <c r="I163" s="273" t="s">
        <v>480</v>
      </c>
      <c r="J163" s="647">
        <f>11000000000</f>
        <v>11000000000</v>
      </c>
      <c r="K163" s="274">
        <f>11000000000</f>
        <v>11000000000</v>
      </c>
      <c r="L163" s="238"/>
      <c r="M163" s="238"/>
      <c r="N163" s="238"/>
      <c r="O163" s="526"/>
      <c r="P163" s="496"/>
    </row>
    <row r="164" spans="2:19" s="29" customFormat="1" ht="16.5" customHeight="1" x14ac:dyDescent="0.25">
      <c r="B164" s="13"/>
      <c r="C164" s="39"/>
      <c r="D164" s="140"/>
      <c r="E164" s="55">
        <v>16</v>
      </c>
      <c r="F164" s="1569" t="s">
        <v>227</v>
      </c>
      <c r="G164" s="1570"/>
      <c r="H164" s="272" t="s">
        <v>228</v>
      </c>
      <c r="I164" s="273" t="s">
        <v>480</v>
      </c>
      <c r="J164" s="647">
        <f>11000000000</f>
        <v>11000000000</v>
      </c>
      <c r="K164" s="274">
        <f>11000000000</f>
        <v>11000000000</v>
      </c>
      <c r="L164" s="238"/>
      <c r="M164" s="238"/>
      <c r="N164" s="238"/>
      <c r="O164" s="526"/>
      <c r="P164" s="496"/>
      <c r="R164" s="396">
        <v>1750000000</v>
      </c>
      <c r="S164" s="29">
        <f>K164/R164</f>
        <v>6.2857142857142856</v>
      </c>
    </row>
    <row r="165" spans="2:19" s="29" customFormat="1" ht="39" customHeight="1" x14ac:dyDescent="0.25">
      <c r="B165" s="13"/>
      <c r="C165" s="39"/>
      <c r="D165" s="140"/>
      <c r="E165" s="55">
        <v>17</v>
      </c>
      <c r="F165" s="1569" t="s">
        <v>223</v>
      </c>
      <c r="G165" s="1570"/>
      <c r="H165" s="272" t="s">
        <v>415</v>
      </c>
      <c r="I165" s="713" t="s">
        <v>224</v>
      </c>
      <c r="J165" s="647">
        <v>4000000000</v>
      </c>
      <c r="K165" s="274">
        <v>4000000000</v>
      </c>
      <c r="L165" s="238"/>
      <c r="M165" s="238"/>
      <c r="N165" s="238"/>
      <c r="O165" s="540"/>
      <c r="P165" s="496"/>
    </row>
    <row r="166" spans="2:19" s="29" customFormat="1" ht="30" customHeight="1" x14ac:dyDescent="0.25">
      <c r="B166" s="13"/>
      <c r="C166" s="598"/>
      <c r="D166" s="599"/>
      <c r="E166" s="599">
        <v>18</v>
      </c>
      <c r="F166" s="1573" t="s">
        <v>220</v>
      </c>
      <c r="G166" s="1574"/>
      <c r="H166" s="693" t="s">
        <v>221</v>
      </c>
      <c r="I166" s="694" t="s">
        <v>222</v>
      </c>
      <c r="J166" s="695">
        <v>1500000000</v>
      </c>
      <c r="K166" s="696">
        <v>0</v>
      </c>
      <c r="L166" s="1004"/>
      <c r="M166" s="1004"/>
      <c r="N166" s="238"/>
      <c r="O166" s="526"/>
      <c r="P166" s="496"/>
    </row>
    <row r="167" spans="2:19" ht="4.5" customHeight="1" x14ac:dyDescent="0.25">
      <c r="C167" s="275"/>
      <c r="D167" s="276"/>
      <c r="E167" s="276"/>
      <c r="F167" s="1540"/>
      <c r="G167" s="1541"/>
      <c r="H167" s="279"/>
      <c r="I167" s="280"/>
      <c r="J167" s="648"/>
      <c r="K167" s="281"/>
      <c r="L167" s="993"/>
      <c r="M167" s="993"/>
      <c r="N167" s="101"/>
      <c r="O167" s="528"/>
      <c r="P167" s="491"/>
    </row>
    <row r="168" spans="2:19" s="15" customFormat="1" ht="32.25" customHeight="1" x14ac:dyDescent="0.25">
      <c r="B168" s="13"/>
      <c r="C168" s="1501" t="s">
        <v>453</v>
      </c>
      <c r="D168" s="1502"/>
      <c r="E168" s="1558" t="s">
        <v>231</v>
      </c>
      <c r="F168" s="1559"/>
      <c r="G168" s="1560"/>
      <c r="H168" s="231" t="s">
        <v>232</v>
      </c>
      <c r="I168" s="282"/>
      <c r="J168" s="649">
        <f>J170+J169+J171</f>
        <v>1850000000</v>
      </c>
      <c r="K168" s="283">
        <f>K170+K169+K171</f>
        <v>1850000000</v>
      </c>
      <c r="L168" s="1005"/>
      <c r="M168" s="1005"/>
      <c r="N168" s="104"/>
      <c r="O168" s="529"/>
      <c r="P168" s="14"/>
      <c r="Q168" s="17"/>
    </row>
    <row r="169" spans="2:19" s="29" customFormat="1" ht="16.5" customHeight="1" x14ac:dyDescent="0.25">
      <c r="B169" s="13"/>
      <c r="C169" s="39"/>
      <c r="D169" s="140"/>
      <c r="E169" s="109" t="s">
        <v>5</v>
      </c>
      <c r="F169" s="1567" t="s">
        <v>233</v>
      </c>
      <c r="G169" s="1568"/>
      <c r="H169" s="284" t="s">
        <v>234</v>
      </c>
      <c r="I169" s="285">
        <v>1</v>
      </c>
      <c r="J169" s="650">
        <v>1200000000</v>
      </c>
      <c r="K169" s="286">
        <v>1200000000</v>
      </c>
      <c r="L169" s="1006"/>
      <c r="M169" s="1006"/>
      <c r="N169" s="7"/>
      <c r="O169" s="530"/>
      <c r="P169" s="484"/>
    </row>
    <row r="170" spans="2:19" s="82" customFormat="1" ht="17.25" customHeight="1" x14ac:dyDescent="0.25">
      <c r="B170" s="59"/>
      <c r="C170" s="39"/>
      <c r="D170" s="140"/>
      <c r="E170" s="109" t="s">
        <v>10</v>
      </c>
      <c r="F170" s="1565" t="s">
        <v>235</v>
      </c>
      <c r="G170" s="1566"/>
      <c r="H170" s="284" t="s">
        <v>234</v>
      </c>
      <c r="I170" s="285">
        <v>1</v>
      </c>
      <c r="J170" s="650">
        <v>350000000</v>
      </c>
      <c r="K170" s="286">
        <v>350000000</v>
      </c>
      <c r="L170" s="1006"/>
      <c r="M170" s="1006"/>
      <c r="N170" s="7"/>
      <c r="O170" s="530"/>
      <c r="P170" s="484"/>
      <c r="Q170" s="136"/>
    </row>
    <row r="171" spans="2:19" s="29" customFormat="1" ht="27.75" customHeight="1" x14ac:dyDescent="0.25">
      <c r="B171" s="13"/>
      <c r="C171" s="39"/>
      <c r="D171" s="140"/>
      <c r="E171" s="109" t="s">
        <v>13</v>
      </c>
      <c r="F171" s="1550" t="s">
        <v>236</v>
      </c>
      <c r="G171" s="1551"/>
      <c r="H171" s="297" t="s">
        <v>237</v>
      </c>
      <c r="I171" s="477">
        <v>1</v>
      </c>
      <c r="J171" s="650">
        <v>300000000</v>
      </c>
      <c r="K171" s="286">
        <v>300000000</v>
      </c>
      <c r="L171" s="1006"/>
      <c r="M171" s="1006"/>
      <c r="N171" s="7"/>
      <c r="O171" s="530"/>
      <c r="P171" s="484"/>
    </row>
    <row r="172" spans="2:19" ht="3" customHeight="1" x14ac:dyDescent="0.25">
      <c r="C172" s="275"/>
      <c r="D172" s="276"/>
      <c r="E172" s="276"/>
      <c r="F172" s="1540"/>
      <c r="G172" s="1541"/>
      <c r="H172" s="279"/>
      <c r="I172" s="289"/>
      <c r="J172" s="651"/>
      <c r="K172" s="290"/>
      <c r="L172" s="1007"/>
      <c r="M172" s="1007"/>
      <c r="O172" s="531"/>
    </row>
    <row r="173" spans="2:19" s="29" customFormat="1" ht="33.75" customHeight="1" x14ac:dyDescent="0.25">
      <c r="B173" s="13"/>
      <c r="C173" s="1506" t="s">
        <v>454</v>
      </c>
      <c r="D173" s="1507"/>
      <c r="E173" s="1558" t="s">
        <v>238</v>
      </c>
      <c r="F173" s="1559"/>
      <c r="G173" s="1560"/>
      <c r="H173" s="231" t="s">
        <v>239</v>
      </c>
      <c r="I173" s="282"/>
      <c r="J173" s="652">
        <f>J174+J179+J175+J177</f>
        <v>7000000000</v>
      </c>
      <c r="K173" s="292">
        <f>K174+K179+K175+K177</f>
        <v>7000000000</v>
      </c>
      <c r="L173" s="1008"/>
      <c r="M173" s="1008"/>
      <c r="N173" s="32"/>
      <c r="O173" s="529"/>
      <c r="P173" s="486"/>
      <c r="S173" s="145"/>
    </row>
    <row r="174" spans="2:19" s="29" customFormat="1" ht="27.75" customHeight="1" x14ac:dyDescent="0.25">
      <c r="B174" s="13"/>
      <c r="C174" s="39"/>
      <c r="D174" s="140"/>
      <c r="E174" s="77" t="s">
        <v>5</v>
      </c>
      <c r="F174" s="1567" t="s">
        <v>240</v>
      </c>
      <c r="G174" s="1568"/>
      <c r="H174" s="293" t="s">
        <v>241</v>
      </c>
      <c r="I174" s="294">
        <v>1</v>
      </c>
      <c r="J174" s="653">
        <v>500000000</v>
      </c>
      <c r="K174" s="295">
        <v>500000000</v>
      </c>
      <c r="L174" s="296"/>
      <c r="M174" s="296"/>
      <c r="N174" s="296"/>
      <c r="O174" s="532"/>
      <c r="P174" s="501"/>
      <c r="S174" s="145"/>
    </row>
    <row r="175" spans="2:19" s="29" customFormat="1" ht="23.25" customHeight="1" x14ac:dyDescent="0.25">
      <c r="B175" s="13"/>
      <c r="C175" s="39"/>
      <c r="D175" s="140"/>
      <c r="E175" s="109" t="s">
        <v>10</v>
      </c>
      <c r="F175" s="1556" t="s">
        <v>242</v>
      </c>
      <c r="G175" s="1557"/>
      <c r="H175" s="297" t="s">
        <v>243</v>
      </c>
      <c r="I175" s="298" t="s">
        <v>244</v>
      </c>
      <c r="J175" s="654">
        <f>SUM(J176:J176)</f>
        <v>300000000</v>
      </c>
      <c r="K175" s="299">
        <f>SUM(K176:K176)</f>
        <v>300000000</v>
      </c>
      <c r="L175" s="296"/>
      <c r="M175" s="296"/>
      <c r="N175" s="296"/>
      <c r="O175" s="533"/>
      <c r="P175" s="501"/>
      <c r="S175" s="145"/>
    </row>
    <row r="176" spans="2:19" s="306" customFormat="1" ht="27" customHeight="1" x14ac:dyDescent="0.25">
      <c r="B176" s="13"/>
      <c r="C176" s="300"/>
      <c r="D176" s="156"/>
      <c r="E176" s="156"/>
      <c r="F176" s="301" t="s">
        <v>46</v>
      </c>
      <c r="G176" s="302" t="s">
        <v>245</v>
      </c>
      <c r="H176" s="303"/>
      <c r="I176" s="1" t="s">
        <v>244</v>
      </c>
      <c r="J176" s="655">
        <v>300000000</v>
      </c>
      <c r="K176" s="304">
        <v>300000000</v>
      </c>
      <c r="L176" s="305"/>
      <c r="M176" s="305"/>
      <c r="N176" s="305"/>
      <c r="O176" s="534"/>
      <c r="P176" s="502"/>
      <c r="S176" s="307"/>
    </row>
    <row r="177" spans="2:19" s="29" customFormat="1" ht="25.5" customHeight="1" x14ac:dyDescent="0.25">
      <c r="B177" s="13"/>
      <c r="C177" s="39"/>
      <c r="D177" s="140"/>
      <c r="E177" s="109" t="s">
        <v>13</v>
      </c>
      <c r="F177" s="1550" t="s">
        <v>246</v>
      </c>
      <c r="G177" s="1551"/>
      <c r="H177" s="297" t="s">
        <v>247</v>
      </c>
      <c r="I177" s="298" t="s">
        <v>465</v>
      </c>
      <c r="J177" s="654">
        <f>SUM(J178:J178)</f>
        <v>6000000000</v>
      </c>
      <c r="K177" s="299">
        <f>SUM(K178:K178)</f>
        <v>6000000000</v>
      </c>
      <c r="L177" s="296"/>
      <c r="M177" s="296"/>
      <c r="N177" s="296"/>
      <c r="O177" s="533"/>
      <c r="P177" s="501"/>
      <c r="S177" s="145"/>
    </row>
    <row r="178" spans="2:19" s="306" customFormat="1" ht="24.75" customHeight="1" x14ac:dyDescent="0.25">
      <c r="B178" s="13"/>
      <c r="C178" s="300"/>
      <c r="D178" s="156"/>
      <c r="E178" s="156"/>
      <c r="F178" s="301" t="s">
        <v>46</v>
      </c>
      <c r="G178" s="302" t="s">
        <v>249</v>
      </c>
      <c r="H178" s="303"/>
      <c r="I178" s="1" t="s">
        <v>248</v>
      </c>
      <c r="J178" s="655">
        <v>6000000000</v>
      </c>
      <c r="K178" s="304">
        <v>6000000000</v>
      </c>
      <c r="L178" s="305"/>
      <c r="M178" s="305"/>
      <c r="N178" s="305"/>
      <c r="O178" s="534"/>
      <c r="P178" s="502"/>
      <c r="S178" s="307"/>
    </row>
    <row r="179" spans="2:19" s="29" customFormat="1" ht="21.75" customHeight="1" x14ac:dyDescent="0.25">
      <c r="B179" s="13"/>
      <c r="C179" s="39"/>
      <c r="D179" s="140"/>
      <c r="E179" s="109" t="s">
        <v>16</v>
      </c>
      <c r="F179" s="1556" t="s">
        <v>250</v>
      </c>
      <c r="G179" s="1557"/>
      <c r="H179" s="297" t="s">
        <v>251</v>
      </c>
      <c r="I179" s="294">
        <v>1</v>
      </c>
      <c r="J179" s="654">
        <v>200000000</v>
      </c>
      <c r="K179" s="299">
        <v>200000000</v>
      </c>
      <c r="L179" s="296"/>
      <c r="M179" s="296"/>
      <c r="N179" s="296"/>
      <c r="O179" s="532"/>
      <c r="P179" s="501"/>
      <c r="S179" s="145"/>
    </row>
    <row r="180" spans="2:19" ht="3" customHeight="1" x14ac:dyDescent="0.25">
      <c r="C180" s="275"/>
      <c r="D180" s="276"/>
      <c r="E180" s="276"/>
      <c r="F180" s="310"/>
      <c r="G180" s="287"/>
      <c r="H180" s="288"/>
      <c r="I180" s="311"/>
      <c r="J180" s="656"/>
      <c r="K180" s="312"/>
      <c r="L180" s="1009"/>
      <c r="M180" s="1009"/>
      <c r="N180" s="308"/>
      <c r="O180" s="535"/>
      <c r="P180" s="503"/>
      <c r="S180" s="230"/>
    </row>
    <row r="181" spans="2:19" s="15" customFormat="1" ht="34.5" customHeight="1" x14ac:dyDescent="0.25">
      <c r="B181" s="13"/>
      <c r="C181" s="1508" t="s">
        <v>455</v>
      </c>
      <c r="D181" s="1509"/>
      <c r="E181" s="1558" t="s">
        <v>252</v>
      </c>
      <c r="F181" s="1559"/>
      <c r="G181" s="1560"/>
      <c r="H181" s="231" t="s">
        <v>253</v>
      </c>
      <c r="I181" s="282"/>
      <c r="J181" s="649">
        <f>J182+J186+J189+J192+J195+J199+J202+J205+J209+J212+J213+J216+J217+J218+J219+J220</f>
        <v>39876082971</v>
      </c>
      <c r="K181" s="283">
        <f>K182+K186+K189+K192+K195+K199+K202+K205+K209+K212+K213+K216+K217+K218+K219+K220</f>
        <v>39100000000</v>
      </c>
      <c r="L181" s="1005"/>
      <c r="M181" s="1005"/>
      <c r="N181" s="104"/>
      <c r="O181" s="529"/>
      <c r="P181" s="14"/>
      <c r="Q181" s="16"/>
      <c r="R181" s="21">
        <v>42276082971</v>
      </c>
    </row>
    <row r="182" spans="2:19" s="62" customFormat="1" ht="20.25" customHeight="1" x14ac:dyDescent="0.25">
      <c r="B182" s="59"/>
      <c r="C182" s="313"/>
      <c r="D182" s="314"/>
      <c r="E182" s="315" t="s">
        <v>5</v>
      </c>
      <c r="F182" s="1561" t="s">
        <v>254</v>
      </c>
      <c r="G182" s="1562"/>
      <c r="H182" s="316" t="s">
        <v>255</v>
      </c>
      <c r="I182" s="317"/>
      <c r="J182" s="657">
        <f>SUM(J183:J185)</f>
        <v>10935000000</v>
      </c>
      <c r="K182" s="318">
        <f>SUM(K183:K185)</f>
        <v>10935000000</v>
      </c>
      <c r="L182" s="319"/>
      <c r="M182" s="319"/>
      <c r="N182" s="319"/>
      <c r="O182" s="541"/>
      <c r="P182" s="504"/>
      <c r="Q182" s="63"/>
    </row>
    <row r="183" spans="2:19" s="113" customFormat="1" ht="17.25" customHeight="1" x14ac:dyDescent="0.25">
      <c r="B183" s="59"/>
      <c r="C183" s="320"/>
      <c r="D183" s="321"/>
      <c r="E183" s="322"/>
      <c r="F183" s="64" t="s">
        <v>46</v>
      </c>
      <c r="G183" s="480" t="s">
        <v>256</v>
      </c>
      <c r="H183" s="544" t="s">
        <v>257</v>
      </c>
      <c r="I183" s="324">
        <v>7.0000000000000007E-2</v>
      </c>
      <c r="J183" s="658">
        <f>10000000000+635000000</f>
        <v>10635000000</v>
      </c>
      <c r="K183" s="325">
        <f>10000000000+635000000</f>
        <v>10635000000</v>
      </c>
      <c r="L183" s="67"/>
      <c r="M183" s="67"/>
      <c r="N183" s="67"/>
      <c r="O183" s="542"/>
      <c r="P183" s="490"/>
      <c r="Q183" s="151"/>
    </row>
    <row r="184" spans="2:19" s="113" customFormat="1" ht="24" customHeight="1" x14ac:dyDescent="0.2">
      <c r="B184" s="59"/>
      <c r="C184" s="320"/>
      <c r="D184" s="321"/>
      <c r="E184" s="322"/>
      <c r="F184" s="64" t="s">
        <v>46</v>
      </c>
      <c r="G184" s="480" t="s">
        <v>258</v>
      </c>
      <c r="H184" s="326" t="s">
        <v>259</v>
      </c>
      <c r="I184" s="327">
        <v>1</v>
      </c>
      <c r="J184" s="616">
        <v>300000000</v>
      </c>
      <c r="K184" s="66">
        <v>300000000</v>
      </c>
      <c r="L184" s="67"/>
      <c r="M184" s="67"/>
      <c r="N184" s="67"/>
      <c r="O184" s="514"/>
      <c r="P184" s="490"/>
      <c r="Q184" s="151"/>
    </row>
    <row r="185" spans="2:19" s="113" customFormat="1" ht="15.75" hidden="1" customHeight="1" x14ac:dyDescent="0.2">
      <c r="B185" s="59"/>
      <c r="C185" s="320"/>
      <c r="D185" s="321"/>
      <c r="E185" s="322"/>
      <c r="F185" s="64" t="s">
        <v>46</v>
      </c>
      <c r="G185" s="323" t="s">
        <v>260</v>
      </c>
      <c r="H185" s="328" t="s">
        <v>470</v>
      </c>
      <c r="I185" s="327">
        <v>1</v>
      </c>
      <c r="J185" s="658">
        <v>0</v>
      </c>
      <c r="K185" s="325"/>
      <c r="L185" s="67"/>
      <c r="M185" s="67"/>
      <c r="N185" s="67"/>
      <c r="O185" s="514"/>
      <c r="P185" s="490"/>
      <c r="Q185" s="151"/>
    </row>
    <row r="186" spans="2:19" s="62" customFormat="1" ht="28.5" customHeight="1" x14ac:dyDescent="0.25">
      <c r="B186" s="59"/>
      <c r="C186" s="78"/>
      <c r="D186" s="45"/>
      <c r="E186" s="329" t="s">
        <v>10</v>
      </c>
      <c r="F186" s="1563" t="s">
        <v>261</v>
      </c>
      <c r="G186" s="1564"/>
      <c r="H186" s="74" t="s">
        <v>262</v>
      </c>
      <c r="I186" s="330"/>
      <c r="J186" s="659">
        <f>SUM(J187:J188)</f>
        <v>5175000000</v>
      </c>
      <c r="K186" s="331">
        <f>SUM(K187:K188)</f>
        <v>5175000000</v>
      </c>
      <c r="L186" s="319"/>
      <c r="M186" s="319"/>
      <c r="N186" s="319"/>
      <c r="O186" s="543"/>
      <c r="P186" s="504"/>
      <c r="Q186" s="63"/>
    </row>
    <row r="187" spans="2:19" s="113" customFormat="1" ht="15.75" customHeight="1" x14ac:dyDescent="0.2">
      <c r="B187" s="59"/>
      <c r="C187" s="320"/>
      <c r="D187" s="321"/>
      <c r="E187" s="322"/>
      <c r="F187" s="64" t="s">
        <v>46</v>
      </c>
      <c r="G187" s="332" t="s">
        <v>408</v>
      </c>
      <c r="H187" s="326" t="s">
        <v>263</v>
      </c>
      <c r="I187" s="327">
        <v>0.57999999999999996</v>
      </c>
      <c r="J187" s="616">
        <f>5000000000</f>
        <v>5000000000</v>
      </c>
      <c r="K187" s="66">
        <f>5000000000</f>
        <v>5000000000</v>
      </c>
      <c r="L187" s="67"/>
      <c r="M187" s="67"/>
      <c r="N187" s="67"/>
      <c r="O187" s="514"/>
      <c r="P187" s="490"/>
      <c r="Q187" s="151"/>
    </row>
    <row r="188" spans="2:19" s="113" customFormat="1" ht="27.75" customHeight="1" x14ac:dyDescent="0.2">
      <c r="B188" s="59"/>
      <c r="C188" s="320"/>
      <c r="D188" s="321"/>
      <c r="E188" s="322"/>
      <c r="F188" s="64" t="s">
        <v>46</v>
      </c>
      <c r="G188" s="332" t="s">
        <v>407</v>
      </c>
      <c r="H188" s="326" t="s">
        <v>264</v>
      </c>
      <c r="I188" s="327">
        <v>1</v>
      </c>
      <c r="J188" s="616">
        <v>175000000</v>
      </c>
      <c r="K188" s="66">
        <v>175000000</v>
      </c>
      <c r="L188" s="67"/>
      <c r="M188" s="67"/>
      <c r="N188" s="67"/>
      <c r="O188" s="514"/>
      <c r="P188" s="490"/>
      <c r="Q188" s="151"/>
    </row>
    <row r="189" spans="2:19" s="62" customFormat="1" ht="27" customHeight="1" x14ac:dyDescent="0.25">
      <c r="B189" s="59"/>
      <c r="C189" s="827"/>
      <c r="D189" s="828"/>
      <c r="E189" s="829" t="s">
        <v>13</v>
      </c>
      <c r="F189" s="1552" t="s">
        <v>265</v>
      </c>
      <c r="G189" s="1553"/>
      <c r="H189" s="830" t="s">
        <v>464</v>
      </c>
      <c r="I189" s="831"/>
      <c r="J189" s="832">
        <f>SUM(J190:J191)</f>
        <v>1000000000</v>
      </c>
      <c r="K189" s="833">
        <f>SUM(K190:K191)</f>
        <v>500000000</v>
      </c>
      <c r="L189" s="1010"/>
      <c r="M189" s="1010"/>
      <c r="N189" s="319"/>
      <c r="O189" s="543"/>
      <c r="P189" s="504"/>
      <c r="Q189" s="63"/>
    </row>
    <row r="190" spans="2:19" s="62" customFormat="1" ht="25.5" customHeight="1" x14ac:dyDescent="0.25">
      <c r="B190" s="59"/>
      <c r="C190" s="78"/>
      <c r="D190" s="45"/>
      <c r="E190" s="333"/>
      <c r="F190" s="301" t="s">
        <v>46</v>
      </c>
      <c r="G190" s="332" t="s">
        <v>266</v>
      </c>
      <c r="H190" s="65" t="s">
        <v>267</v>
      </c>
      <c r="I190" s="68">
        <v>1</v>
      </c>
      <c r="J190" s="616">
        <v>500000000</v>
      </c>
      <c r="K190" s="66">
        <v>500000000</v>
      </c>
      <c r="L190" s="67"/>
      <c r="M190" s="67"/>
      <c r="N190" s="67"/>
      <c r="O190" s="514"/>
      <c r="P190" s="490"/>
      <c r="Q190" s="63"/>
    </row>
    <row r="191" spans="2:19" s="229" customFormat="1" ht="21" customHeight="1" x14ac:dyDescent="0.25">
      <c r="B191" s="59"/>
      <c r="C191" s="334"/>
      <c r="D191" s="335"/>
      <c r="E191" s="336"/>
      <c r="F191" s="301" t="s">
        <v>46</v>
      </c>
      <c r="G191" s="332" t="s">
        <v>268</v>
      </c>
      <c r="H191" s="65" t="s">
        <v>269</v>
      </c>
      <c r="I191" s="68">
        <v>1</v>
      </c>
      <c r="J191" s="616">
        <v>500000000</v>
      </c>
      <c r="K191" s="66">
        <v>0</v>
      </c>
      <c r="L191" s="67"/>
      <c r="M191" s="67"/>
      <c r="N191" s="67"/>
      <c r="O191" s="514"/>
      <c r="P191" s="490"/>
      <c r="Q191" s="309"/>
    </row>
    <row r="192" spans="2:19" s="29" customFormat="1" ht="26.25" customHeight="1" x14ac:dyDescent="0.25">
      <c r="B192" s="13"/>
      <c r="C192" s="834"/>
      <c r="D192" s="599"/>
      <c r="E192" s="599" t="s">
        <v>16</v>
      </c>
      <c r="F192" s="1554" t="s">
        <v>270</v>
      </c>
      <c r="G192" s="1555"/>
      <c r="H192" s="835" t="s">
        <v>271</v>
      </c>
      <c r="I192" s="836"/>
      <c r="J192" s="615">
        <f>J193+J194</f>
        <v>1045000000</v>
      </c>
      <c r="K192" s="600">
        <f>K193+K194</f>
        <v>1545000000</v>
      </c>
      <c r="L192" s="1011"/>
      <c r="M192" s="1011"/>
      <c r="N192" s="61"/>
      <c r="O192" s="536"/>
      <c r="P192" s="489"/>
      <c r="Q192" s="63"/>
    </row>
    <row r="193" spans="2:17" s="29" customFormat="1" ht="27" customHeight="1" x14ac:dyDescent="0.25">
      <c r="B193" s="13"/>
      <c r="C193" s="87"/>
      <c r="D193" s="109"/>
      <c r="E193" s="109"/>
      <c r="F193" s="301" t="s">
        <v>46</v>
      </c>
      <c r="G193" s="332" t="s">
        <v>272</v>
      </c>
      <c r="H193" s="65" t="s">
        <v>273</v>
      </c>
      <c r="I193" s="436">
        <v>1</v>
      </c>
      <c r="J193" s="618">
        <v>1000000000</v>
      </c>
      <c r="K193" s="73">
        <f>1000000000+500000000</f>
        <v>1500000000</v>
      </c>
      <c r="L193" s="67"/>
      <c r="M193" s="67"/>
      <c r="N193" s="67"/>
      <c r="O193" s="537"/>
      <c r="P193" s="490"/>
      <c r="Q193" s="63"/>
    </row>
    <row r="194" spans="2:17" s="29" customFormat="1" ht="27" customHeight="1" x14ac:dyDescent="0.25">
      <c r="B194" s="13"/>
      <c r="C194" s="87"/>
      <c r="D194" s="109"/>
      <c r="E194" s="109"/>
      <c r="F194" s="301" t="s">
        <v>46</v>
      </c>
      <c r="G194" s="480" t="s">
        <v>274</v>
      </c>
      <c r="H194" s="479" t="s">
        <v>274</v>
      </c>
      <c r="I194" s="68">
        <v>1</v>
      </c>
      <c r="J194" s="616">
        <v>45000000</v>
      </c>
      <c r="K194" s="66">
        <v>45000000</v>
      </c>
      <c r="L194" s="67"/>
      <c r="M194" s="67"/>
      <c r="N194" s="67"/>
      <c r="O194" s="514"/>
      <c r="P194" s="490"/>
      <c r="Q194" s="63"/>
    </row>
    <row r="195" spans="2:17" s="62" customFormat="1" ht="31.5" customHeight="1" x14ac:dyDescent="0.25">
      <c r="B195" s="59"/>
      <c r="C195" s="78"/>
      <c r="D195" s="45"/>
      <c r="E195" s="329" t="s">
        <v>19</v>
      </c>
      <c r="F195" s="1548" t="s">
        <v>275</v>
      </c>
      <c r="G195" s="1549"/>
      <c r="H195" s="433" t="s">
        <v>276</v>
      </c>
      <c r="I195" s="435"/>
      <c r="J195" s="660">
        <f>SUM(J196:J198)</f>
        <v>8750000000</v>
      </c>
      <c r="K195" s="60">
        <f>SUM(K196:K198)</f>
        <v>8750000000</v>
      </c>
      <c r="L195" s="61"/>
      <c r="M195" s="61"/>
      <c r="N195" s="61"/>
      <c r="O195" s="536"/>
      <c r="P195" s="489"/>
      <c r="Q195" s="63"/>
    </row>
    <row r="196" spans="2:17" s="62" customFormat="1" ht="15.75" customHeight="1" x14ac:dyDescent="0.25">
      <c r="B196" s="59"/>
      <c r="C196" s="78"/>
      <c r="D196" s="45"/>
      <c r="E196" s="333"/>
      <c r="F196" s="64" t="s">
        <v>46</v>
      </c>
      <c r="G196" s="332" t="s">
        <v>277</v>
      </c>
      <c r="H196" s="65" t="s">
        <v>278</v>
      </c>
      <c r="I196" s="435">
        <v>1</v>
      </c>
      <c r="J196" s="616">
        <v>8405000000</v>
      </c>
      <c r="K196" s="66">
        <v>8405000000</v>
      </c>
      <c r="L196" s="67"/>
      <c r="M196" s="67"/>
      <c r="N196" s="67"/>
      <c r="O196" s="536"/>
      <c r="P196" s="490"/>
      <c r="Q196" s="63"/>
    </row>
    <row r="197" spans="2:17" s="62" customFormat="1" ht="27" customHeight="1" x14ac:dyDescent="0.2">
      <c r="B197" s="59"/>
      <c r="C197" s="78"/>
      <c r="D197" s="45"/>
      <c r="E197" s="333"/>
      <c r="F197" s="64" t="s">
        <v>46</v>
      </c>
      <c r="G197" s="332" t="s">
        <v>279</v>
      </c>
      <c r="H197" s="337" t="s">
        <v>280</v>
      </c>
      <c r="I197" s="435">
        <v>1</v>
      </c>
      <c r="J197" s="616">
        <v>245000000</v>
      </c>
      <c r="K197" s="66">
        <v>245000000</v>
      </c>
      <c r="L197" s="67"/>
      <c r="M197" s="67"/>
      <c r="N197" s="67"/>
      <c r="O197" s="536"/>
      <c r="P197" s="490"/>
      <c r="Q197" s="63"/>
    </row>
    <row r="198" spans="2:17" s="62" customFormat="1" ht="15.75" customHeight="1" x14ac:dyDescent="0.25">
      <c r="B198" s="59"/>
      <c r="C198" s="78"/>
      <c r="D198" s="45"/>
      <c r="E198" s="333"/>
      <c r="F198" s="64" t="s">
        <v>46</v>
      </c>
      <c r="G198" s="332" t="s">
        <v>281</v>
      </c>
      <c r="H198" s="65" t="s">
        <v>282</v>
      </c>
      <c r="I198" s="68">
        <v>1</v>
      </c>
      <c r="J198" s="616">
        <v>100000000</v>
      </c>
      <c r="K198" s="66">
        <v>100000000</v>
      </c>
      <c r="L198" s="67"/>
      <c r="M198" s="67"/>
      <c r="N198" s="67"/>
      <c r="O198" s="514"/>
      <c r="P198" s="490"/>
      <c r="Q198" s="63"/>
    </row>
    <row r="199" spans="2:17" s="29" customFormat="1" ht="26.25" customHeight="1" x14ac:dyDescent="0.25">
      <c r="B199" s="13"/>
      <c r="C199" s="87"/>
      <c r="D199" s="109"/>
      <c r="E199" s="109" t="s">
        <v>27</v>
      </c>
      <c r="F199" s="1548" t="s">
        <v>283</v>
      </c>
      <c r="G199" s="1549"/>
      <c r="H199" s="433" t="s">
        <v>284</v>
      </c>
      <c r="I199" s="435"/>
      <c r="J199" s="660">
        <f>J200+J201</f>
        <v>1045000000</v>
      </c>
      <c r="K199" s="60">
        <f>K200+K201</f>
        <v>1045000000</v>
      </c>
      <c r="L199" s="61"/>
      <c r="M199" s="61"/>
      <c r="N199" s="61"/>
      <c r="O199" s="536"/>
      <c r="P199" s="489"/>
      <c r="Q199" s="63"/>
    </row>
    <row r="200" spans="2:17" s="29" customFormat="1" x14ac:dyDescent="0.25">
      <c r="B200" s="13"/>
      <c r="C200" s="87"/>
      <c r="D200" s="109"/>
      <c r="E200" s="109"/>
      <c r="F200" s="64" t="s">
        <v>46</v>
      </c>
      <c r="G200" s="332" t="s">
        <v>285</v>
      </c>
      <c r="H200" s="65" t="s">
        <v>286</v>
      </c>
      <c r="I200" s="436">
        <v>1</v>
      </c>
      <c r="J200" s="618">
        <v>1000000000</v>
      </c>
      <c r="K200" s="73">
        <v>1000000000</v>
      </c>
      <c r="L200" s="67"/>
      <c r="M200" s="67"/>
      <c r="N200" s="67"/>
      <c r="O200" s="537"/>
      <c r="P200" s="490"/>
      <c r="Q200" s="63"/>
    </row>
    <row r="201" spans="2:17" s="29" customFormat="1" ht="29.25" customHeight="1" x14ac:dyDescent="0.25">
      <c r="B201" s="13"/>
      <c r="C201" s="87"/>
      <c r="D201" s="109"/>
      <c r="E201" s="109"/>
      <c r="F201" s="301" t="s">
        <v>46</v>
      </c>
      <c r="G201" s="332" t="s">
        <v>287</v>
      </c>
      <c r="H201" s="65" t="s">
        <v>288</v>
      </c>
      <c r="I201" s="68">
        <v>1</v>
      </c>
      <c r="J201" s="618">
        <v>45000000</v>
      </c>
      <c r="K201" s="73">
        <v>45000000</v>
      </c>
      <c r="L201" s="67"/>
      <c r="M201" s="67"/>
      <c r="N201" s="67"/>
      <c r="O201" s="514"/>
      <c r="P201" s="490"/>
      <c r="Q201" s="63"/>
    </row>
    <row r="202" spans="2:17" s="29" customFormat="1" ht="23.25" customHeight="1" x14ac:dyDescent="0.25">
      <c r="B202" s="13"/>
      <c r="C202" s="87"/>
      <c r="D202" s="109"/>
      <c r="E202" s="109" t="s">
        <v>30</v>
      </c>
      <c r="F202" s="1548" t="s">
        <v>289</v>
      </c>
      <c r="G202" s="1549"/>
      <c r="H202" s="433" t="s">
        <v>290</v>
      </c>
      <c r="I202" s="435">
        <v>1</v>
      </c>
      <c r="J202" s="660">
        <f>J203+J204</f>
        <v>3500000000</v>
      </c>
      <c r="K202" s="60">
        <f>K203+K204</f>
        <v>3500000000</v>
      </c>
      <c r="L202" s="61"/>
      <c r="M202" s="61"/>
      <c r="N202" s="61"/>
      <c r="O202" s="536"/>
      <c r="P202" s="489"/>
      <c r="Q202" s="63" t="s">
        <v>291</v>
      </c>
    </row>
    <row r="203" spans="2:17" s="29" customFormat="1" ht="22.5" customHeight="1" x14ac:dyDescent="0.25">
      <c r="B203" s="13"/>
      <c r="C203" s="54"/>
      <c r="D203" s="55"/>
      <c r="E203" s="55"/>
      <c r="F203" s="301" t="s">
        <v>46</v>
      </c>
      <c r="G203" s="332" t="s">
        <v>292</v>
      </c>
      <c r="H203" s="65" t="s">
        <v>293</v>
      </c>
      <c r="I203" s="437">
        <v>1</v>
      </c>
      <c r="J203" s="618">
        <f>3500000000-125000000</f>
        <v>3375000000</v>
      </c>
      <c r="K203" s="73">
        <f>3500000000-125000000</f>
        <v>3375000000</v>
      </c>
      <c r="L203" s="67"/>
      <c r="M203" s="67"/>
      <c r="N203" s="67"/>
      <c r="O203" s="538"/>
      <c r="P203" s="490"/>
      <c r="Q203" s="63" t="s">
        <v>427</v>
      </c>
    </row>
    <row r="204" spans="2:17" s="29" customFormat="1" ht="24" customHeight="1" x14ac:dyDescent="0.25">
      <c r="B204" s="13"/>
      <c r="C204" s="87"/>
      <c r="D204" s="109"/>
      <c r="E204" s="109"/>
      <c r="F204" s="301" t="s">
        <v>46</v>
      </c>
      <c r="G204" s="332" t="s">
        <v>294</v>
      </c>
      <c r="H204" s="65" t="s">
        <v>295</v>
      </c>
      <c r="I204" s="68">
        <v>1</v>
      </c>
      <c r="J204" s="616">
        <v>125000000</v>
      </c>
      <c r="K204" s="66">
        <v>125000000</v>
      </c>
      <c r="L204" s="67"/>
      <c r="M204" s="67"/>
      <c r="N204" s="67"/>
      <c r="O204" s="514"/>
      <c r="P204" s="490"/>
      <c r="Q204" s="63"/>
    </row>
    <row r="205" spans="2:17" s="29" customFormat="1" ht="23.25" customHeight="1" x14ac:dyDescent="0.25">
      <c r="B205" s="13"/>
      <c r="C205" s="54"/>
      <c r="D205" s="55"/>
      <c r="E205" s="55" t="s">
        <v>8</v>
      </c>
      <c r="F205" s="1548" t="s">
        <v>296</v>
      </c>
      <c r="G205" s="1549"/>
      <c r="H205" s="69" t="s">
        <v>297</v>
      </c>
      <c r="I205" s="70"/>
      <c r="J205" s="617">
        <f>SUM(J206:J208)</f>
        <v>1600000000</v>
      </c>
      <c r="K205" s="71">
        <f>SUM(K206:K208)</f>
        <v>1600000000</v>
      </c>
      <c r="L205" s="61"/>
      <c r="M205" s="61"/>
      <c r="N205" s="61"/>
      <c r="O205" s="562"/>
      <c r="P205" s="489"/>
      <c r="Q205" s="63"/>
    </row>
    <row r="206" spans="2:17" s="29" customFormat="1" ht="26.25" customHeight="1" x14ac:dyDescent="0.25">
      <c r="B206" s="13"/>
      <c r="C206" s="54"/>
      <c r="D206" s="55"/>
      <c r="E206" s="55"/>
      <c r="F206" s="301" t="s">
        <v>46</v>
      </c>
      <c r="G206" s="332" t="s">
        <v>499</v>
      </c>
      <c r="H206" s="65" t="s">
        <v>500</v>
      </c>
      <c r="I206" s="72">
        <v>1</v>
      </c>
      <c r="J206" s="618">
        <v>1490000000</v>
      </c>
      <c r="K206" s="73">
        <v>1490000000</v>
      </c>
      <c r="L206" s="67"/>
      <c r="M206" s="67"/>
      <c r="N206" s="67"/>
      <c r="O206" s="563"/>
      <c r="P206" s="490"/>
      <c r="Q206" s="63"/>
    </row>
    <row r="207" spans="2:17" s="29" customFormat="1" ht="24.75" customHeight="1" x14ac:dyDescent="0.25">
      <c r="B207" s="13"/>
      <c r="C207" s="54"/>
      <c r="D207" s="55"/>
      <c r="E207" s="55"/>
      <c r="F207" s="301" t="s">
        <v>46</v>
      </c>
      <c r="G207" s="332" t="s">
        <v>298</v>
      </c>
      <c r="H207" s="65" t="s">
        <v>299</v>
      </c>
      <c r="I207" s="72">
        <v>1</v>
      </c>
      <c r="J207" s="618">
        <v>50000000</v>
      </c>
      <c r="K207" s="73">
        <v>50000000</v>
      </c>
      <c r="L207" s="67"/>
      <c r="M207" s="67"/>
      <c r="N207" s="67"/>
      <c r="O207" s="563"/>
      <c r="P207" s="490"/>
      <c r="Q207" s="63"/>
    </row>
    <row r="208" spans="2:17" s="29" customFormat="1" ht="16.5" customHeight="1" x14ac:dyDescent="0.25">
      <c r="B208" s="13"/>
      <c r="C208" s="54"/>
      <c r="D208" s="55"/>
      <c r="E208" s="55"/>
      <c r="F208" s="301" t="s">
        <v>46</v>
      </c>
      <c r="G208" s="332" t="s">
        <v>300</v>
      </c>
      <c r="H208" s="65" t="s">
        <v>301</v>
      </c>
      <c r="I208" s="72">
        <v>1</v>
      </c>
      <c r="J208" s="618">
        <v>60000000</v>
      </c>
      <c r="K208" s="73">
        <v>60000000</v>
      </c>
      <c r="L208" s="67"/>
      <c r="M208" s="67"/>
      <c r="N208" s="67"/>
      <c r="O208" s="563"/>
      <c r="P208" s="490"/>
      <c r="Q208" s="63"/>
    </row>
    <row r="209" spans="2:19" s="349" customFormat="1" ht="23.25" customHeight="1" x14ac:dyDescent="0.25">
      <c r="B209" s="339"/>
      <c r="C209" s="347"/>
      <c r="D209" s="55"/>
      <c r="E209" s="55" t="s">
        <v>22</v>
      </c>
      <c r="F209" s="1550" t="s">
        <v>302</v>
      </c>
      <c r="G209" s="1551"/>
      <c r="H209" s="348" t="s">
        <v>303</v>
      </c>
      <c r="I209" s="439"/>
      <c r="J209" s="617">
        <f>SUM(J210:J211)</f>
        <v>3100000000</v>
      </c>
      <c r="K209" s="71">
        <f>SUM(K210:K211)</f>
        <v>3100000000</v>
      </c>
      <c r="L209" s="61"/>
      <c r="M209" s="61"/>
      <c r="N209" s="61"/>
      <c r="O209" s="564"/>
      <c r="P209" s="489"/>
      <c r="Q209" s="350"/>
    </row>
    <row r="210" spans="2:19" s="343" customFormat="1" ht="15" customHeight="1" x14ac:dyDescent="0.25">
      <c r="B210" s="339"/>
      <c r="C210" s="340"/>
      <c r="D210" s="341"/>
      <c r="E210" s="341"/>
      <c r="F210" s="351" t="s">
        <v>46</v>
      </c>
      <c r="G210" s="131" t="s">
        <v>304</v>
      </c>
      <c r="H210" s="342" t="s">
        <v>305</v>
      </c>
      <c r="I210" s="438">
        <v>1</v>
      </c>
      <c r="J210" s="618">
        <v>3000000000</v>
      </c>
      <c r="K210" s="73">
        <v>3000000000</v>
      </c>
      <c r="L210" s="67"/>
      <c r="M210" s="67"/>
      <c r="N210" s="67"/>
      <c r="O210" s="565"/>
      <c r="P210" s="490"/>
      <c r="Q210" s="344"/>
    </row>
    <row r="211" spans="2:19" s="343" customFormat="1" ht="12.75" customHeight="1" x14ac:dyDescent="0.25">
      <c r="B211" s="339"/>
      <c r="C211" s="340"/>
      <c r="D211" s="341"/>
      <c r="E211" s="341"/>
      <c r="F211" s="351" t="s">
        <v>46</v>
      </c>
      <c r="G211" s="131" t="s">
        <v>306</v>
      </c>
      <c r="H211" s="342" t="s">
        <v>307</v>
      </c>
      <c r="I211" s="438">
        <v>1</v>
      </c>
      <c r="J211" s="618">
        <v>100000000</v>
      </c>
      <c r="K211" s="73">
        <v>100000000</v>
      </c>
      <c r="L211" s="67"/>
      <c r="M211" s="67"/>
      <c r="N211" s="67"/>
      <c r="O211" s="565"/>
      <c r="P211" s="490"/>
      <c r="Q211" s="344"/>
    </row>
    <row r="212" spans="2:19" s="343" customFormat="1" ht="23.25" customHeight="1" x14ac:dyDescent="0.25">
      <c r="B212" s="339"/>
      <c r="C212" s="683"/>
      <c r="D212" s="684"/>
      <c r="E212" s="684" t="s">
        <v>210</v>
      </c>
      <c r="F212" s="1552" t="s">
        <v>308</v>
      </c>
      <c r="G212" s="1553"/>
      <c r="H212" s="685" t="s">
        <v>309</v>
      </c>
      <c r="I212" s="686">
        <v>1</v>
      </c>
      <c r="J212" s="687">
        <f>2500000000-323917029-50000000</f>
        <v>2126082971</v>
      </c>
      <c r="K212" s="688">
        <v>600000000</v>
      </c>
      <c r="L212" s="1011"/>
      <c r="M212" s="1011"/>
      <c r="N212" s="61"/>
      <c r="O212" s="565"/>
      <c r="P212" s="489"/>
      <c r="Q212" s="344"/>
    </row>
    <row r="213" spans="2:19" s="345" customFormat="1" ht="23.25" customHeight="1" x14ac:dyDescent="0.25">
      <c r="B213" s="339"/>
      <c r="C213" s="54"/>
      <c r="D213" s="55"/>
      <c r="E213" s="55">
        <v>11</v>
      </c>
      <c r="F213" s="1550" t="s">
        <v>310</v>
      </c>
      <c r="G213" s="1551"/>
      <c r="H213" s="342" t="s">
        <v>416</v>
      </c>
      <c r="I213" s="440"/>
      <c r="J213" s="617">
        <f>J214+J215</f>
        <v>800000000</v>
      </c>
      <c r="K213" s="71">
        <f>K214+K215</f>
        <v>800000000</v>
      </c>
      <c r="L213" s="61"/>
      <c r="M213" s="61"/>
      <c r="N213" s="61"/>
      <c r="O213" s="566"/>
      <c r="P213" s="489"/>
      <c r="Q213" s="346"/>
    </row>
    <row r="214" spans="2:19" s="343" customFormat="1" ht="27" customHeight="1" x14ac:dyDescent="0.25">
      <c r="B214" s="339"/>
      <c r="C214" s="340"/>
      <c r="D214" s="341"/>
      <c r="E214" s="341"/>
      <c r="F214" s="720" t="s">
        <v>46</v>
      </c>
      <c r="G214" s="131" t="s">
        <v>311</v>
      </c>
      <c r="H214" s="342" t="s">
        <v>312</v>
      </c>
      <c r="I214" s="438"/>
      <c r="J214" s="618">
        <v>500000000</v>
      </c>
      <c r="K214" s="73">
        <v>500000000</v>
      </c>
      <c r="L214" s="67"/>
      <c r="M214" s="67"/>
      <c r="N214" s="67"/>
      <c r="O214" s="565"/>
      <c r="P214" s="490"/>
      <c r="Q214" s="344"/>
    </row>
    <row r="215" spans="2:19" s="343" customFormat="1" ht="25.5" customHeight="1" x14ac:dyDescent="0.25">
      <c r="B215" s="339"/>
      <c r="C215" s="340"/>
      <c r="D215" s="341"/>
      <c r="E215" s="341"/>
      <c r="F215" s="720" t="s">
        <v>46</v>
      </c>
      <c r="G215" s="131" t="s">
        <v>313</v>
      </c>
      <c r="H215" s="342" t="s">
        <v>314</v>
      </c>
      <c r="I215" s="438"/>
      <c r="J215" s="618">
        <v>300000000</v>
      </c>
      <c r="K215" s="73">
        <v>300000000</v>
      </c>
      <c r="L215" s="67"/>
      <c r="M215" s="67"/>
      <c r="N215" s="67"/>
      <c r="O215" s="565"/>
      <c r="P215" s="490"/>
      <c r="Q215" s="344"/>
    </row>
    <row r="216" spans="2:19" s="29" customFormat="1" ht="27" customHeight="1" x14ac:dyDescent="0.25">
      <c r="B216" s="13"/>
      <c r="C216" s="87"/>
      <c r="D216" s="109"/>
      <c r="E216" s="109">
        <v>12</v>
      </c>
      <c r="F216" s="1542" t="s">
        <v>315</v>
      </c>
      <c r="G216" s="1543"/>
      <c r="H216" s="434" t="s">
        <v>316</v>
      </c>
      <c r="I216" s="353">
        <v>1</v>
      </c>
      <c r="J216" s="660">
        <v>200000000</v>
      </c>
      <c r="K216" s="60">
        <v>200000000</v>
      </c>
      <c r="L216" s="61"/>
      <c r="M216" s="61"/>
      <c r="N216" s="61"/>
      <c r="O216" s="567"/>
      <c r="P216" s="489"/>
      <c r="Q216" s="28"/>
    </row>
    <row r="217" spans="2:19" s="29" customFormat="1" ht="26.25" customHeight="1" x14ac:dyDescent="0.25">
      <c r="B217" s="13"/>
      <c r="C217" s="714"/>
      <c r="D217" s="599"/>
      <c r="E217" s="599">
        <v>13</v>
      </c>
      <c r="F217" s="1544" t="s">
        <v>317</v>
      </c>
      <c r="G217" s="1545"/>
      <c r="H217" s="715" t="s">
        <v>318</v>
      </c>
      <c r="I217" s="716" t="s">
        <v>319</v>
      </c>
      <c r="J217" s="717">
        <v>100000000</v>
      </c>
      <c r="K217" s="718">
        <v>300000000</v>
      </c>
      <c r="L217" s="1012"/>
      <c r="M217" s="1012"/>
      <c r="N217" s="7"/>
      <c r="O217" s="568"/>
      <c r="P217" s="484"/>
      <c r="Q217" s="28"/>
    </row>
    <row r="218" spans="2:19" s="29" customFormat="1" ht="20.25" customHeight="1" x14ac:dyDescent="0.25">
      <c r="B218" s="13"/>
      <c r="C218" s="714"/>
      <c r="D218" s="599"/>
      <c r="E218" s="599">
        <v>14</v>
      </c>
      <c r="F218" s="1546" t="s">
        <v>320</v>
      </c>
      <c r="G218" s="1547"/>
      <c r="H218" s="715" t="s">
        <v>321</v>
      </c>
      <c r="I218" s="716" t="s">
        <v>319</v>
      </c>
      <c r="J218" s="717">
        <v>200000000</v>
      </c>
      <c r="K218" s="718">
        <v>600000000</v>
      </c>
      <c r="L218" s="1012"/>
      <c r="M218" s="1012"/>
      <c r="N218" s="7"/>
      <c r="O218" s="568"/>
      <c r="P218" s="484"/>
      <c r="Q218" s="28"/>
    </row>
    <row r="219" spans="2:19" s="62" customFormat="1" ht="38.25" customHeight="1" x14ac:dyDescent="0.25">
      <c r="B219" s="59"/>
      <c r="C219" s="714"/>
      <c r="D219" s="599"/>
      <c r="E219" s="599">
        <v>15</v>
      </c>
      <c r="F219" s="1544" t="s">
        <v>322</v>
      </c>
      <c r="G219" s="1545"/>
      <c r="H219" s="715" t="s">
        <v>323</v>
      </c>
      <c r="I219" s="719" t="s">
        <v>86</v>
      </c>
      <c r="J219" s="717">
        <v>100000000</v>
      </c>
      <c r="K219" s="718">
        <v>250000000</v>
      </c>
      <c r="L219" s="1012"/>
      <c r="M219" s="1012"/>
      <c r="N219" s="7"/>
      <c r="O219" s="569"/>
      <c r="P219" s="484"/>
      <c r="Q219" s="148"/>
    </row>
    <row r="220" spans="2:19" s="29" customFormat="1" ht="26.25" customHeight="1" x14ac:dyDescent="0.25">
      <c r="B220" s="13"/>
      <c r="C220" s="87"/>
      <c r="D220" s="109"/>
      <c r="E220" s="109">
        <v>16</v>
      </c>
      <c r="F220" s="1542" t="s">
        <v>324</v>
      </c>
      <c r="G220" s="1543"/>
      <c r="H220" s="352" t="s">
        <v>325</v>
      </c>
      <c r="I220" s="353">
        <v>1</v>
      </c>
      <c r="J220" s="660">
        <v>200000000</v>
      </c>
      <c r="K220" s="60">
        <v>200000000</v>
      </c>
      <c r="L220" s="61"/>
      <c r="M220" s="61"/>
      <c r="N220" s="61"/>
      <c r="O220" s="567"/>
      <c r="P220" s="489"/>
      <c r="Q220" s="28"/>
    </row>
    <row r="221" spans="2:19" ht="3" customHeight="1" x14ac:dyDescent="0.25">
      <c r="C221" s="95"/>
      <c r="D221" s="96"/>
      <c r="E221" s="96"/>
      <c r="F221" s="1540"/>
      <c r="G221" s="1541"/>
      <c r="H221" s="355"/>
      <c r="I221" s="356"/>
      <c r="J221" s="661"/>
      <c r="K221" s="357"/>
      <c r="L221" s="1013"/>
      <c r="M221" s="1013"/>
      <c r="N221" s="358"/>
      <c r="O221" s="570"/>
      <c r="P221" s="505"/>
    </row>
    <row r="222" spans="2:19" s="15" customFormat="1" ht="25.5" customHeight="1" x14ac:dyDescent="0.25">
      <c r="B222" s="13"/>
      <c r="C222" s="1506" t="s">
        <v>456</v>
      </c>
      <c r="D222" s="1507"/>
      <c r="E222" s="1535" t="s">
        <v>326</v>
      </c>
      <c r="F222" s="1536"/>
      <c r="G222" s="1537"/>
      <c r="H222" s="359" t="s">
        <v>327</v>
      </c>
      <c r="I222" s="360"/>
      <c r="J222" s="641">
        <f>SUM(J223:J224)</f>
        <v>750000000</v>
      </c>
      <c r="K222" s="233">
        <f>SUM(K223:K224)</f>
        <v>750000000</v>
      </c>
      <c r="L222" s="1001"/>
      <c r="M222" s="1001"/>
      <c r="N222" s="26"/>
      <c r="O222" s="571"/>
      <c r="P222" s="495"/>
    </row>
    <row r="223" spans="2:19" s="29" customFormat="1" ht="18" customHeight="1" x14ac:dyDescent="0.25">
      <c r="B223" s="13"/>
      <c r="C223" s="39"/>
      <c r="D223" s="140"/>
      <c r="E223" s="109" t="s">
        <v>5</v>
      </c>
      <c r="F223" s="1533" t="s">
        <v>329</v>
      </c>
      <c r="G223" s="1534"/>
      <c r="H223" s="141" t="s">
        <v>330</v>
      </c>
      <c r="I223" s="142" t="s">
        <v>328</v>
      </c>
      <c r="J223" s="629">
        <v>400000000</v>
      </c>
      <c r="K223" s="143">
        <v>400000000</v>
      </c>
      <c r="L223" s="144"/>
      <c r="M223" s="144"/>
      <c r="N223" s="144"/>
      <c r="O223" s="561"/>
      <c r="P223" s="492"/>
      <c r="S223" s="145"/>
    </row>
    <row r="224" spans="2:19" s="29" customFormat="1" ht="18" customHeight="1" x14ac:dyDescent="0.25">
      <c r="B224" s="13"/>
      <c r="C224" s="39"/>
      <c r="D224" s="140"/>
      <c r="E224" s="109" t="s">
        <v>10</v>
      </c>
      <c r="F224" s="1533" t="s">
        <v>331</v>
      </c>
      <c r="G224" s="1534"/>
      <c r="H224" s="141" t="s">
        <v>332</v>
      </c>
      <c r="I224" s="142" t="s">
        <v>319</v>
      </c>
      <c r="J224" s="629">
        <v>350000000</v>
      </c>
      <c r="K224" s="143">
        <v>350000000</v>
      </c>
      <c r="L224" s="144"/>
      <c r="M224" s="144"/>
      <c r="N224" s="144"/>
      <c r="O224" s="561"/>
      <c r="P224" s="492"/>
      <c r="S224" s="145"/>
    </row>
    <row r="225" spans="2:19" ht="5.25" customHeight="1" x14ac:dyDescent="0.25">
      <c r="C225" s="363"/>
      <c r="D225" s="364"/>
      <c r="E225" s="276"/>
      <c r="F225" s="365"/>
      <c r="G225" s="366"/>
      <c r="H225" s="367"/>
      <c r="I225" s="368"/>
      <c r="J225" s="651"/>
      <c r="K225" s="290"/>
      <c r="L225" s="1007"/>
      <c r="M225" s="1007"/>
      <c r="O225" s="572"/>
      <c r="S225" s="230"/>
    </row>
    <row r="226" spans="2:19" s="15" customFormat="1" ht="27.75" customHeight="1" x14ac:dyDescent="0.25">
      <c r="B226" s="13"/>
      <c r="C226" s="1506" t="s">
        <v>457</v>
      </c>
      <c r="D226" s="1507"/>
      <c r="E226" s="1535" t="s">
        <v>333</v>
      </c>
      <c r="F226" s="1536"/>
      <c r="G226" s="1537"/>
      <c r="H226" s="359" t="s">
        <v>334</v>
      </c>
      <c r="I226" s="360"/>
      <c r="J226" s="641">
        <f>J227+J228</f>
        <v>2200000000</v>
      </c>
      <c r="K226" s="233">
        <f>K227+K228</f>
        <v>2976082971</v>
      </c>
      <c r="L226" s="1001"/>
      <c r="M226" s="1001"/>
      <c r="N226" s="26"/>
      <c r="O226" s="571"/>
      <c r="P226" s="495"/>
    </row>
    <row r="227" spans="2:19" s="29" customFormat="1" ht="15.75" customHeight="1" x14ac:dyDescent="0.25">
      <c r="B227" s="13"/>
      <c r="C227" s="39"/>
      <c r="D227" s="140"/>
      <c r="E227" s="109" t="s">
        <v>5</v>
      </c>
      <c r="F227" s="1538" t="s">
        <v>335</v>
      </c>
      <c r="G227" s="1539"/>
      <c r="H227" s="141" t="s">
        <v>336</v>
      </c>
      <c r="I227" s="142" t="s">
        <v>109</v>
      </c>
      <c r="J227" s="629">
        <f>2000000000</f>
        <v>2000000000</v>
      </c>
      <c r="K227" s="143">
        <f>2000000000+776082971</f>
        <v>2776082971</v>
      </c>
      <c r="L227" s="144"/>
      <c r="M227" s="144"/>
      <c r="N227" s="144"/>
      <c r="O227" s="561"/>
      <c r="P227" s="492"/>
    </row>
    <row r="228" spans="2:19" s="362" customFormat="1" ht="15.75" customHeight="1" x14ac:dyDescent="0.25">
      <c r="B228" s="13"/>
      <c r="C228" s="39"/>
      <c r="D228" s="140"/>
      <c r="E228" s="109" t="s">
        <v>10</v>
      </c>
      <c r="F228" s="1533" t="s">
        <v>339</v>
      </c>
      <c r="G228" s="1534"/>
      <c r="H228" s="141" t="s">
        <v>340</v>
      </c>
      <c r="I228" s="370" t="s">
        <v>244</v>
      </c>
      <c r="J228" s="662">
        <v>200000000</v>
      </c>
      <c r="K228" s="371">
        <v>200000000</v>
      </c>
      <c r="L228" s="144"/>
      <c r="M228" s="144"/>
      <c r="N228" s="144"/>
      <c r="O228" s="573"/>
      <c r="P228" s="492"/>
      <c r="Q228" s="361"/>
      <c r="S228" s="361"/>
    </row>
    <row r="229" spans="2:19" ht="3.75" customHeight="1" x14ac:dyDescent="0.25">
      <c r="C229" s="363"/>
      <c r="D229" s="364"/>
      <c r="E229" s="276"/>
      <c r="F229" s="365"/>
      <c r="G229" s="366"/>
      <c r="H229" s="367"/>
      <c r="I229" s="368"/>
      <c r="J229" s="651"/>
      <c r="K229" s="290"/>
      <c r="L229" s="1007"/>
      <c r="M229" s="1007"/>
      <c r="O229" s="572"/>
      <c r="S229" s="230"/>
    </row>
    <row r="230" spans="2:19" s="15" customFormat="1" ht="28.5" customHeight="1" x14ac:dyDescent="0.25">
      <c r="B230" s="13"/>
      <c r="C230" s="1506" t="s">
        <v>458</v>
      </c>
      <c r="D230" s="1507"/>
      <c r="E230" s="1535" t="s">
        <v>341</v>
      </c>
      <c r="F230" s="1536"/>
      <c r="G230" s="1537"/>
      <c r="H230" s="359" t="s">
        <v>342</v>
      </c>
      <c r="I230" s="360"/>
      <c r="J230" s="641">
        <f>SUM(J231:J235)</f>
        <v>1550000000</v>
      </c>
      <c r="K230" s="233">
        <f>SUM(K231:K235)</f>
        <v>1550000000</v>
      </c>
      <c r="L230" s="1001"/>
      <c r="M230" s="1001"/>
      <c r="N230" s="26"/>
      <c r="O230" s="571"/>
      <c r="P230" s="495"/>
    </row>
    <row r="231" spans="2:19" s="29" customFormat="1" ht="21" customHeight="1" x14ac:dyDescent="0.25">
      <c r="B231" s="13"/>
      <c r="C231" s="39"/>
      <c r="D231" s="140"/>
      <c r="E231" s="109" t="s">
        <v>5</v>
      </c>
      <c r="F231" s="1533" t="s">
        <v>343</v>
      </c>
      <c r="G231" s="1534"/>
      <c r="H231" s="172" t="s">
        <v>344</v>
      </c>
      <c r="I231" s="370" t="s">
        <v>345</v>
      </c>
      <c r="J231" s="662">
        <v>600000000</v>
      </c>
      <c r="K231" s="371">
        <v>600000000</v>
      </c>
      <c r="L231" s="144"/>
      <c r="M231" s="144"/>
      <c r="N231" s="144"/>
      <c r="O231" s="573"/>
      <c r="P231" s="492"/>
      <c r="S231" s="145"/>
    </row>
    <row r="232" spans="2:19" s="29" customFormat="1" ht="15.75" customHeight="1" x14ac:dyDescent="0.25">
      <c r="B232" s="13"/>
      <c r="C232" s="39"/>
      <c r="D232" s="140"/>
      <c r="E232" s="109" t="s">
        <v>10</v>
      </c>
      <c r="F232" s="1533" t="s">
        <v>346</v>
      </c>
      <c r="G232" s="1534"/>
      <c r="H232" s="369" t="s">
        <v>347</v>
      </c>
      <c r="I232" s="370" t="s">
        <v>348</v>
      </c>
      <c r="J232" s="662">
        <v>400000000</v>
      </c>
      <c r="K232" s="371">
        <v>400000000</v>
      </c>
      <c r="L232" s="144"/>
      <c r="M232" s="144"/>
      <c r="N232" s="144"/>
      <c r="O232" s="573"/>
      <c r="P232" s="492"/>
      <c r="S232" s="145"/>
    </row>
    <row r="233" spans="2:19" s="29" customFormat="1" ht="25.5" customHeight="1" x14ac:dyDescent="0.25">
      <c r="B233" s="13"/>
      <c r="C233" s="39"/>
      <c r="D233" s="140"/>
      <c r="E233" s="109" t="s">
        <v>13</v>
      </c>
      <c r="F233" s="1531" t="s">
        <v>349</v>
      </c>
      <c r="G233" s="1532"/>
      <c r="H233" s="141" t="s">
        <v>350</v>
      </c>
      <c r="I233" s="142" t="s">
        <v>351</v>
      </c>
      <c r="J233" s="663">
        <v>200000000</v>
      </c>
      <c r="K233" s="372">
        <v>200000000</v>
      </c>
      <c r="L233" s="373"/>
      <c r="M233" s="373"/>
      <c r="N233" s="373"/>
      <c r="O233" s="561"/>
      <c r="P233" s="492"/>
    </row>
    <row r="234" spans="2:19" s="29" customFormat="1" ht="26.25" customHeight="1" x14ac:dyDescent="0.25">
      <c r="B234" s="13"/>
      <c r="C234" s="39"/>
      <c r="D234" s="140"/>
      <c r="E234" s="109" t="s">
        <v>16</v>
      </c>
      <c r="F234" s="1533" t="s">
        <v>352</v>
      </c>
      <c r="G234" s="1534"/>
      <c r="H234" s="141" t="s">
        <v>350</v>
      </c>
      <c r="I234" s="142" t="s">
        <v>351</v>
      </c>
      <c r="J234" s="629">
        <v>200000000</v>
      </c>
      <c r="K234" s="143">
        <v>200000000</v>
      </c>
      <c r="L234" s="144"/>
      <c r="M234" s="144"/>
      <c r="N234" s="144"/>
      <c r="O234" s="561"/>
      <c r="P234" s="492"/>
      <c r="S234" s="145"/>
    </row>
    <row r="235" spans="2:19" s="29" customFormat="1" ht="15.75" customHeight="1" x14ac:dyDescent="0.25">
      <c r="B235" s="13"/>
      <c r="C235" s="39"/>
      <c r="D235" s="140"/>
      <c r="E235" s="109" t="s">
        <v>19</v>
      </c>
      <c r="F235" s="1533" t="s">
        <v>353</v>
      </c>
      <c r="G235" s="1534"/>
      <c r="H235" s="141" t="s">
        <v>354</v>
      </c>
      <c r="I235" s="142" t="s">
        <v>92</v>
      </c>
      <c r="J235" s="629">
        <v>150000000</v>
      </c>
      <c r="K235" s="143">
        <v>150000000</v>
      </c>
      <c r="L235" s="144"/>
      <c r="M235" s="144"/>
      <c r="N235" s="144"/>
      <c r="O235" s="561"/>
      <c r="P235" s="492"/>
      <c r="S235" s="145"/>
    </row>
    <row r="236" spans="2:19" s="229" customFormat="1" ht="4.5" customHeight="1" x14ac:dyDescent="0.25">
      <c r="B236" s="59"/>
      <c r="C236" s="374"/>
      <c r="D236" s="375"/>
      <c r="E236" s="375"/>
      <c r="F236" s="1527"/>
      <c r="G236" s="1528"/>
      <c r="H236" s="376"/>
      <c r="I236" s="377"/>
      <c r="J236" s="664"/>
      <c r="K236" s="378"/>
      <c r="L236" s="101"/>
      <c r="M236" s="101"/>
      <c r="N236" s="101"/>
      <c r="O236" s="574"/>
      <c r="P236" s="491"/>
      <c r="S236" s="309"/>
    </row>
    <row r="237" spans="2:19" s="15" customFormat="1" ht="37.5" customHeight="1" x14ac:dyDescent="0.25">
      <c r="B237" s="13"/>
      <c r="C237" s="1501" t="s">
        <v>459</v>
      </c>
      <c r="D237" s="1502"/>
      <c r="E237" s="1512" t="s">
        <v>355</v>
      </c>
      <c r="F237" s="1513"/>
      <c r="G237" s="1514"/>
      <c r="H237" s="231" t="s">
        <v>356</v>
      </c>
      <c r="I237" s="379"/>
      <c r="J237" s="649">
        <f>J238+J241+J243+J246+J247+J248+J250+J251</f>
        <v>5200000000</v>
      </c>
      <c r="K237" s="283">
        <f>K238+K241+K243+K246+K247+K248+K250+K251</f>
        <v>5200000000</v>
      </c>
      <c r="L237" s="1005"/>
      <c r="M237" s="1005"/>
      <c r="N237" s="104"/>
      <c r="O237" s="575"/>
      <c r="P237" s="14"/>
      <c r="Q237" s="145"/>
      <c r="S237" s="145"/>
    </row>
    <row r="238" spans="2:19" s="82" customFormat="1" ht="24.75" customHeight="1" x14ac:dyDescent="0.25">
      <c r="B238" s="59"/>
      <c r="C238" s="49"/>
      <c r="D238" s="79"/>
      <c r="E238" s="140" t="s">
        <v>5</v>
      </c>
      <c r="F238" s="1529" t="s">
        <v>357</v>
      </c>
      <c r="G238" s="1530"/>
      <c r="H238" s="380" t="s">
        <v>358</v>
      </c>
      <c r="I238" s="381" t="s">
        <v>244</v>
      </c>
      <c r="J238" s="659">
        <f>J239+J240</f>
        <v>950000000</v>
      </c>
      <c r="K238" s="331">
        <f>K239+K240</f>
        <v>950000000</v>
      </c>
      <c r="L238" s="319"/>
      <c r="M238" s="319"/>
      <c r="N238" s="319"/>
      <c r="O238" s="576"/>
      <c r="P238" s="504"/>
      <c r="Q238" s="63"/>
      <c r="S238" s="63"/>
    </row>
    <row r="239" spans="2:19" s="82" customFormat="1" ht="16.5" customHeight="1" x14ac:dyDescent="0.25">
      <c r="B239" s="59"/>
      <c r="C239" s="49"/>
      <c r="D239" s="79"/>
      <c r="E239" s="40"/>
      <c r="F239" s="382" t="s">
        <v>46</v>
      </c>
      <c r="G239" s="383" t="s">
        <v>357</v>
      </c>
      <c r="H239" s="384"/>
      <c r="I239" s="385"/>
      <c r="J239" s="665">
        <v>550000000</v>
      </c>
      <c r="K239" s="386">
        <v>550000000</v>
      </c>
      <c r="L239" s="387"/>
      <c r="M239" s="387"/>
      <c r="N239" s="387"/>
      <c r="O239" s="577"/>
      <c r="P239" s="506"/>
      <c r="Q239" s="63"/>
      <c r="S239" s="63"/>
    </row>
    <row r="240" spans="2:19" s="306" customFormat="1" x14ac:dyDescent="0.25">
      <c r="B240" s="13"/>
      <c r="C240" s="263"/>
      <c r="D240" s="388"/>
      <c r="E240" s="156"/>
      <c r="F240" s="389" t="s">
        <v>46</v>
      </c>
      <c r="G240" s="390" t="s">
        <v>359</v>
      </c>
      <c r="H240" s="391"/>
      <c r="I240" s="392"/>
      <c r="J240" s="666">
        <v>400000000</v>
      </c>
      <c r="K240" s="393">
        <v>400000000</v>
      </c>
      <c r="L240" s="387"/>
      <c r="M240" s="387"/>
      <c r="N240" s="387"/>
      <c r="O240" s="578"/>
      <c r="P240" s="506"/>
      <c r="S240" s="307"/>
    </row>
    <row r="241" spans="2:19" s="29" customFormat="1" ht="21.75" customHeight="1" x14ac:dyDescent="0.25">
      <c r="B241" s="13"/>
      <c r="C241" s="49"/>
      <c r="D241" s="79"/>
      <c r="E241" s="109" t="s">
        <v>10</v>
      </c>
      <c r="F241" s="1517" t="s">
        <v>360</v>
      </c>
      <c r="G241" s="1518"/>
      <c r="H241" s="394" t="s">
        <v>361</v>
      </c>
      <c r="I241" s="381" t="s">
        <v>244</v>
      </c>
      <c r="J241" s="667">
        <f>J242</f>
        <v>1000000000</v>
      </c>
      <c r="K241" s="395">
        <f>K242</f>
        <v>1000000000</v>
      </c>
      <c r="L241" s="319"/>
      <c r="M241" s="319"/>
      <c r="N241" s="319"/>
      <c r="O241" s="576"/>
      <c r="P241" s="504"/>
      <c r="S241" s="145"/>
    </row>
    <row r="242" spans="2:19" s="306" customFormat="1" ht="27.75" customHeight="1" x14ac:dyDescent="0.25">
      <c r="B242" s="13"/>
      <c r="C242" s="263"/>
      <c r="D242" s="388"/>
      <c r="E242" s="156"/>
      <c r="F242" s="389" t="s">
        <v>46</v>
      </c>
      <c r="G242" s="390" t="s">
        <v>362</v>
      </c>
      <c r="H242" s="391"/>
      <c r="I242" s="392"/>
      <c r="J242" s="666">
        <v>1000000000</v>
      </c>
      <c r="K242" s="393">
        <v>1000000000</v>
      </c>
      <c r="L242" s="387"/>
      <c r="M242" s="387"/>
      <c r="N242" s="387"/>
      <c r="O242" s="578"/>
      <c r="P242" s="506"/>
      <c r="Q242" s="307"/>
      <c r="S242" s="307"/>
    </row>
    <row r="243" spans="2:19" s="29" customFormat="1" ht="21.75" customHeight="1" x14ac:dyDescent="0.25">
      <c r="B243" s="13"/>
      <c r="C243" s="49"/>
      <c r="D243" s="79"/>
      <c r="E243" s="109" t="s">
        <v>13</v>
      </c>
      <c r="F243" s="1519" t="s">
        <v>363</v>
      </c>
      <c r="G243" s="1520"/>
      <c r="H243" s="394" t="s">
        <v>364</v>
      </c>
      <c r="I243" s="381" t="s">
        <v>365</v>
      </c>
      <c r="J243" s="667">
        <f>SUM(J244:J245)</f>
        <v>550000000</v>
      </c>
      <c r="K243" s="395">
        <f>SUM(K244:K245)</f>
        <v>550000000</v>
      </c>
      <c r="L243" s="319"/>
      <c r="M243" s="319"/>
      <c r="N243" s="319"/>
      <c r="O243" s="576"/>
      <c r="P243" s="504"/>
      <c r="Q243" s="396"/>
      <c r="S243" s="145"/>
    </row>
    <row r="244" spans="2:19" s="306" customFormat="1" ht="15" customHeight="1" x14ac:dyDescent="0.25">
      <c r="B244" s="13"/>
      <c r="C244" s="263"/>
      <c r="D244" s="388"/>
      <c r="E244" s="156"/>
      <c r="F244" s="397" t="s">
        <v>46</v>
      </c>
      <c r="G244" s="398" t="s">
        <v>366</v>
      </c>
      <c r="H244" s="391"/>
      <c r="I244" s="392" t="s">
        <v>244</v>
      </c>
      <c r="J244" s="666">
        <v>300000000</v>
      </c>
      <c r="K244" s="393">
        <v>300000000</v>
      </c>
      <c r="L244" s="387"/>
      <c r="M244" s="387"/>
      <c r="N244" s="387"/>
      <c r="O244" s="578"/>
      <c r="P244" s="506"/>
      <c r="S244" s="307"/>
    </row>
    <row r="245" spans="2:19" s="306" customFormat="1" ht="15" customHeight="1" x14ac:dyDescent="0.25">
      <c r="B245" s="13"/>
      <c r="C245" s="263"/>
      <c r="D245" s="388"/>
      <c r="E245" s="156"/>
      <c r="F245" s="397" t="s">
        <v>46</v>
      </c>
      <c r="G245" s="398" t="s">
        <v>367</v>
      </c>
      <c r="H245" s="391"/>
      <c r="I245" s="392" t="s">
        <v>244</v>
      </c>
      <c r="J245" s="666">
        <v>250000000</v>
      </c>
      <c r="K245" s="393">
        <v>250000000</v>
      </c>
      <c r="L245" s="387"/>
      <c r="M245" s="387"/>
      <c r="N245" s="387"/>
      <c r="O245" s="578"/>
      <c r="P245" s="506"/>
      <c r="Q245" s="307"/>
      <c r="S245" s="307"/>
    </row>
    <row r="246" spans="2:19" s="306" customFormat="1" ht="30.75" customHeight="1" x14ac:dyDescent="0.25">
      <c r="B246" s="13"/>
      <c r="C246" s="49"/>
      <c r="D246" s="79"/>
      <c r="E246" s="109" t="s">
        <v>16</v>
      </c>
      <c r="F246" s="1521" t="s">
        <v>368</v>
      </c>
      <c r="G246" s="1522"/>
      <c r="H246" s="354" t="s">
        <v>369</v>
      </c>
      <c r="I246" s="381">
        <v>0.2</v>
      </c>
      <c r="J246" s="667">
        <v>1000000000</v>
      </c>
      <c r="K246" s="395">
        <v>1000000000</v>
      </c>
      <c r="L246" s="319"/>
      <c r="M246" s="319"/>
      <c r="N246" s="319"/>
      <c r="O246" s="576"/>
      <c r="P246" s="504"/>
      <c r="S246" s="307"/>
    </row>
    <row r="247" spans="2:19" s="306" customFormat="1" ht="22.5" customHeight="1" x14ac:dyDescent="0.25">
      <c r="B247" s="13"/>
      <c r="C247" s="399"/>
      <c r="D247" s="109"/>
      <c r="E247" s="109" t="s">
        <v>19</v>
      </c>
      <c r="F247" s="1517" t="s">
        <v>371</v>
      </c>
      <c r="G247" s="1518"/>
      <c r="H247" s="394" t="s">
        <v>372</v>
      </c>
      <c r="I247" s="381" t="s">
        <v>370</v>
      </c>
      <c r="J247" s="667">
        <v>600000000</v>
      </c>
      <c r="K247" s="395">
        <v>600000000</v>
      </c>
      <c r="L247" s="319"/>
      <c r="M247" s="319"/>
      <c r="N247" s="319"/>
      <c r="O247" s="576"/>
      <c r="P247" s="504"/>
      <c r="S247" s="307"/>
    </row>
    <row r="248" spans="2:19" s="29" customFormat="1" ht="18.75" customHeight="1" x14ac:dyDescent="0.25">
      <c r="B248" s="13"/>
      <c r="C248" s="400"/>
      <c r="D248" s="77"/>
      <c r="E248" s="77" t="s">
        <v>27</v>
      </c>
      <c r="F248" s="1523" t="s">
        <v>373</v>
      </c>
      <c r="G248" s="1524"/>
      <c r="H248" s="401" t="s">
        <v>374</v>
      </c>
      <c r="I248" s="402" t="s">
        <v>370</v>
      </c>
      <c r="J248" s="659">
        <f>SUM(J249:J249)</f>
        <v>400000000</v>
      </c>
      <c r="K248" s="331">
        <f>SUM(K249:K249)</f>
        <v>400000000</v>
      </c>
      <c r="L248" s="319"/>
      <c r="M248" s="319"/>
      <c r="N248" s="319"/>
      <c r="O248" s="579"/>
      <c r="P248" s="504"/>
      <c r="S248" s="145"/>
    </row>
    <row r="249" spans="2:19" s="306" customFormat="1" ht="16.5" customHeight="1" x14ac:dyDescent="0.25">
      <c r="B249" s="13"/>
      <c r="C249" s="403"/>
      <c r="D249" s="156"/>
      <c r="E249" s="156"/>
      <c r="F249" s="404" t="s">
        <v>46</v>
      </c>
      <c r="G249" s="405" t="s">
        <v>375</v>
      </c>
      <c r="H249" s="391"/>
      <c r="I249" s="392"/>
      <c r="J249" s="666">
        <v>400000000</v>
      </c>
      <c r="K249" s="393">
        <v>400000000</v>
      </c>
      <c r="L249" s="387"/>
      <c r="M249" s="387"/>
      <c r="N249" s="387"/>
      <c r="O249" s="578"/>
      <c r="P249" s="506"/>
      <c r="S249" s="307"/>
    </row>
    <row r="250" spans="2:19" s="29" customFormat="1" ht="21" customHeight="1" x14ac:dyDescent="0.25">
      <c r="B250" s="13"/>
      <c r="C250" s="399"/>
      <c r="D250" s="109"/>
      <c r="E250" s="109" t="s">
        <v>30</v>
      </c>
      <c r="F250" s="1525" t="s">
        <v>376</v>
      </c>
      <c r="G250" s="1526"/>
      <c r="H250" s="354" t="s">
        <v>377</v>
      </c>
      <c r="I250" s="406" t="s">
        <v>370</v>
      </c>
      <c r="J250" s="668">
        <v>300000000</v>
      </c>
      <c r="K250" s="407">
        <v>300000000</v>
      </c>
      <c r="L250" s="319"/>
      <c r="M250" s="319"/>
      <c r="N250" s="319"/>
      <c r="O250" s="580"/>
      <c r="P250" s="504"/>
      <c r="S250" s="145"/>
    </row>
    <row r="251" spans="2:19" s="29" customFormat="1" ht="21" customHeight="1" x14ac:dyDescent="0.25">
      <c r="B251" s="13"/>
      <c r="C251" s="399"/>
      <c r="D251" s="109"/>
      <c r="E251" s="109" t="s">
        <v>8</v>
      </c>
      <c r="F251" s="1510" t="s">
        <v>409</v>
      </c>
      <c r="G251" s="1511"/>
      <c r="H251" s="394" t="s">
        <v>410</v>
      </c>
      <c r="I251" s="381" t="s">
        <v>370</v>
      </c>
      <c r="J251" s="669">
        <v>400000000</v>
      </c>
      <c r="K251" s="408">
        <v>400000000</v>
      </c>
      <c r="L251" s="1014"/>
      <c r="M251" s="1014"/>
      <c r="N251" s="319"/>
      <c r="O251" s="576"/>
      <c r="P251" s="504"/>
      <c r="S251" s="145"/>
    </row>
    <row r="252" spans="2:19" s="29" customFormat="1" ht="3.75" customHeight="1" x14ac:dyDescent="0.25">
      <c r="B252" s="13"/>
      <c r="C252" s="399"/>
      <c r="D252" s="109"/>
      <c r="E252" s="109"/>
      <c r="F252" s="409"/>
      <c r="G252" s="410"/>
      <c r="H252" s="354"/>
      <c r="I252" s="406"/>
      <c r="J252" s="670"/>
      <c r="K252" s="411"/>
      <c r="L252" s="1014"/>
      <c r="M252" s="1014"/>
      <c r="N252" s="319"/>
      <c r="O252" s="580"/>
      <c r="P252" s="504"/>
      <c r="S252" s="145"/>
    </row>
    <row r="253" spans="2:19" s="29" customFormat="1" ht="35.25" customHeight="1" x14ac:dyDescent="0.25">
      <c r="B253" s="13"/>
      <c r="C253" s="1501" t="s">
        <v>460</v>
      </c>
      <c r="D253" s="1502"/>
      <c r="E253" s="1512" t="s">
        <v>378</v>
      </c>
      <c r="F253" s="1513"/>
      <c r="G253" s="1514"/>
      <c r="H253" s="412" t="s">
        <v>379</v>
      </c>
      <c r="I253" s="413"/>
      <c r="J253" s="649">
        <f>J254+J255+J256</f>
        <v>500000000</v>
      </c>
      <c r="K253" s="283">
        <f>K254+K255+K256</f>
        <v>500000000</v>
      </c>
      <c r="L253" s="1005"/>
      <c r="M253" s="1005"/>
      <c r="N253" s="104"/>
      <c r="O253" s="581"/>
      <c r="P253" s="14"/>
      <c r="S253" s="145"/>
    </row>
    <row r="254" spans="2:19" s="29" customFormat="1" ht="23.25" customHeight="1" x14ac:dyDescent="0.25">
      <c r="B254" s="13"/>
      <c r="C254" s="399"/>
      <c r="D254" s="109"/>
      <c r="E254" s="109" t="s">
        <v>5</v>
      </c>
      <c r="F254" s="1515" t="s">
        <v>380</v>
      </c>
      <c r="G254" s="1516"/>
      <c r="H254" s="401" t="s">
        <v>381</v>
      </c>
      <c r="I254" s="402" t="s">
        <v>244</v>
      </c>
      <c r="J254" s="659">
        <v>175000000</v>
      </c>
      <c r="K254" s="331">
        <v>175000000</v>
      </c>
      <c r="L254" s="319"/>
      <c r="M254" s="319"/>
      <c r="N254" s="319"/>
      <c r="O254" s="579"/>
      <c r="P254" s="504"/>
      <c r="S254" s="145"/>
    </row>
    <row r="255" spans="2:19" s="29" customFormat="1" ht="27.75" customHeight="1" x14ac:dyDescent="0.25">
      <c r="B255" s="13"/>
      <c r="C255" s="399"/>
      <c r="D255" s="109"/>
      <c r="E255" s="109" t="s">
        <v>10</v>
      </c>
      <c r="F255" s="1510" t="s">
        <v>382</v>
      </c>
      <c r="G255" s="1511"/>
      <c r="H255" s="394" t="s">
        <v>383</v>
      </c>
      <c r="I255" s="381" t="s">
        <v>244</v>
      </c>
      <c r="J255" s="667">
        <v>175000000</v>
      </c>
      <c r="K255" s="395">
        <v>175000000</v>
      </c>
      <c r="L255" s="319"/>
      <c r="M255" s="319"/>
      <c r="N255" s="319"/>
      <c r="O255" s="576"/>
      <c r="P255" s="504"/>
      <c r="S255" s="145"/>
    </row>
    <row r="256" spans="2:19" s="29" customFormat="1" ht="30.75" customHeight="1" x14ac:dyDescent="0.25">
      <c r="B256" s="13"/>
      <c r="C256" s="399"/>
      <c r="D256" s="109"/>
      <c r="E256" s="109" t="s">
        <v>13</v>
      </c>
      <c r="F256" s="1510" t="s">
        <v>384</v>
      </c>
      <c r="G256" s="1511"/>
      <c r="H256" s="394" t="s">
        <v>385</v>
      </c>
      <c r="I256" s="381" t="s">
        <v>244</v>
      </c>
      <c r="J256" s="667">
        <v>150000000</v>
      </c>
      <c r="K256" s="395">
        <v>150000000</v>
      </c>
      <c r="L256" s="319"/>
      <c r="M256" s="319"/>
      <c r="N256" s="319"/>
      <c r="O256" s="576"/>
      <c r="P256" s="504"/>
      <c r="S256" s="145"/>
    </row>
    <row r="257" spans="2:19" s="29" customFormat="1" ht="16.5" hidden="1" customHeight="1" x14ac:dyDescent="0.25">
      <c r="B257" s="13"/>
      <c r="C257" s="399"/>
      <c r="D257" s="109"/>
      <c r="E257" s="109"/>
      <c r="F257" s="404" t="s">
        <v>46</v>
      </c>
      <c r="G257" s="405" t="s">
        <v>386</v>
      </c>
      <c r="H257" s="391"/>
      <c r="I257" s="392"/>
      <c r="J257" s="671">
        <v>300000000</v>
      </c>
      <c r="K257" s="414">
        <v>300000000</v>
      </c>
      <c r="L257" s="1015"/>
      <c r="M257" s="1015"/>
      <c r="N257" s="387"/>
      <c r="O257" s="578"/>
      <c r="P257" s="506"/>
      <c r="S257" s="145"/>
    </row>
    <row r="258" spans="2:19" ht="3.75" customHeight="1" x14ac:dyDescent="0.25">
      <c r="C258" s="415"/>
      <c r="D258" s="338"/>
      <c r="E258" s="338"/>
      <c r="F258" s="416"/>
      <c r="G258" s="417"/>
      <c r="H258" s="367"/>
      <c r="I258" s="418"/>
      <c r="J258" s="648"/>
      <c r="K258" s="281"/>
      <c r="L258" s="993"/>
      <c r="M258" s="993"/>
      <c r="N258" s="101"/>
      <c r="O258" s="582"/>
      <c r="P258" s="491"/>
      <c r="S258" s="230"/>
    </row>
    <row r="259" spans="2:19" s="15" customFormat="1" ht="36.75" customHeight="1" x14ac:dyDescent="0.25">
      <c r="B259" s="13"/>
      <c r="C259" s="1501" t="s">
        <v>461</v>
      </c>
      <c r="D259" s="1502"/>
      <c r="E259" s="1512" t="s">
        <v>387</v>
      </c>
      <c r="F259" s="1513"/>
      <c r="G259" s="1514"/>
      <c r="H259" s="231" t="s">
        <v>388</v>
      </c>
      <c r="I259" s="379"/>
      <c r="J259" s="649">
        <f>J260</f>
        <v>300000000</v>
      </c>
      <c r="K259" s="283">
        <f>K260</f>
        <v>300000000</v>
      </c>
      <c r="L259" s="1005"/>
      <c r="M259" s="1005"/>
      <c r="N259" s="104"/>
      <c r="O259" s="575"/>
      <c r="P259" s="14"/>
      <c r="S259" s="145"/>
    </row>
    <row r="260" spans="2:19" s="29" customFormat="1" ht="31.5" customHeight="1" x14ac:dyDescent="0.25">
      <c r="B260" s="13"/>
      <c r="C260" s="76"/>
      <c r="D260" s="77"/>
      <c r="E260" s="77" t="s">
        <v>5</v>
      </c>
      <c r="F260" s="1503" t="s">
        <v>390</v>
      </c>
      <c r="G260" s="1504"/>
      <c r="H260" s="293" t="s">
        <v>388</v>
      </c>
      <c r="I260" s="419">
        <v>1</v>
      </c>
      <c r="J260" s="659">
        <v>300000000</v>
      </c>
      <c r="K260" s="331">
        <v>300000000</v>
      </c>
      <c r="L260" s="319"/>
      <c r="M260" s="319"/>
      <c r="N260" s="319"/>
      <c r="O260" s="583"/>
      <c r="P260" s="504"/>
      <c r="S260" s="145"/>
    </row>
    <row r="261" spans="2:19" ht="3" customHeight="1" thickBot="1" x14ac:dyDescent="0.3">
      <c r="C261" s="420"/>
      <c r="D261" s="421"/>
      <c r="E261" s="421"/>
      <c r="F261" s="422"/>
      <c r="G261" s="423"/>
      <c r="H261" s="424"/>
      <c r="I261" s="425"/>
      <c r="J261" s="672"/>
      <c r="K261" s="426"/>
      <c r="L261" s="993"/>
      <c r="M261" s="993"/>
      <c r="N261" s="101"/>
      <c r="O261" s="539"/>
      <c r="P261" s="491"/>
    </row>
    <row r="262" spans="2:19" ht="13.5" thickTop="1" x14ac:dyDescent="0.25"/>
  </sheetData>
  <mergeCells count="166">
    <mergeCell ref="C10:E10"/>
    <mergeCell ref="F10:G10"/>
    <mergeCell ref="D11:G11"/>
    <mergeCell ref="D12:I12"/>
    <mergeCell ref="D13:G13"/>
    <mergeCell ref="E14:G14"/>
    <mergeCell ref="O8:O9"/>
    <mergeCell ref="C2:K2"/>
    <mergeCell ref="C3:N3"/>
    <mergeCell ref="C4:N4"/>
    <mergeCell ref="C6:D6"/>
    <mergeCell ref="C8:E9"/>
    <mergeCell ref="F8:G9"/>
    <mergeCell ref="H8:H9"/>
    <mergeCell ref="I8:I9"/>
    <mergeCell ref="K8:K9"/>
    <mergeCell ref="J8:J9"/>
    <mergeCell ref="E21:G21"/>
    <mergeCell ref="E22:G22"/>
    <mergeCell ref="F23:G23"/>
    <mergeCell ref="D24:G24"/>
    <mergeCell ref="E25:G25"/>
    <mergeCell ref="E26:G26"/>
    <mergeCell ref="E15:G15"/>
    <mergeCell ref="E16:G16"/>
    <mergeCell ref="E17:G17"/>
    <mergeCell ref="E18:G18"/>
    <mergeCell ref="E19:G19"/>
    <mergeCell ref="E20:G20"/>
    <mergeCell ref="F32:G32"/>
    <mergeCell ref="E33:G33"/>
    <mergeCell ref="F34:G34"/>
    <mergeCell ref="F35:G35"/>
    <mergeCell ref="E36:G36"/>
    <mergeCell ref="E37:G37"/>
    <mergeCell ref="E27:G27"/>
    <mergeCell ref="E28:G28"/>
    <mergeCell ref="E29:G29"/>
    <mergeCell ref="F30:G30"/>
    <mergeCell ref="F31:G31"/>
    <mergeCell ref="E44:G44"/>
    <mergeCell ref="E45:G45"/>
    <mergeCell ref="D46:G46"/>
    <mergeCell ref="E47:G47"/>
    <mergeCell ref="E48:G48"/>
    <mergeCell ref="E49:G49"/>
    <mergeCell ref="E38:G38"/>
    <mergeCell ref="F39:G39"/>
    <mergeCell ref="D40:G40"/>
    <mergeCell ref="E41:G41"/>
    <mergeCell ref="E42:G42"/>
    <mergeCell ref="D43:G43"/>
    <mergeCell ref="F58:G58"/>
    <mergeCell ref="F61:G61"/>
    <mergeCell ref="F62:G62"/>
    <mergeCell ref="F65:G65"/>
    <mergeCell ref="F66:G66"/>
    <mergeCell ref="F67:G67"/>
    <mergeCell ref="E50:G50"/>
    <mergeCell ref="D52:I52"/>
    <mergeCell ref="E53:G53"/>
    <mergeCell ref="F54:G54"/>
    <mergeCell ref="F55:G55"/>
    <mergeCell ref="F101:G101"/>
    <mergeCell ref="F111:G111"/>
    <mergeCell ref="F114:G114"/>
    <mergeCell ref="F119:G119"/>
    <mergeCell ref="F125:G125"/>
    <mergeCell ref="F127:G127"/>
    <mergeCell ref="F68:G68"/>
    <mergeCell ref="F75:G75"/>
    <mergeCell ref="F89:G89"/>
    <mergeCell ref="F90:G90"/>
    <mergeCell ref="F92:G92"/>
    <mergeCell ref="F96:G96"/>
    <mergeCell ref="F143:G143"/>
    <mergeCell ref="F144:G144"/>
    <mergeCell ref="F145:G145"/>
    <mergeCell ref="F146:G146"/>
    <mergeCell ref="F150:G150"/>
    <mergeCell ref="F151:G151"/>
    <mergeCell ref="F129:G129"/>
    <mergeCell ref="F131:G131"/>
    <mergeCell ref="F136:G136"/>
    <mergeCell ref="E142:G142"/>
    <mergeCell ref="F161:G161"/>
    <mergeCell ref="F162:G162"/>
    <mergeCell ref="F163:G163"/>
    <mergeCell ref="F164:G164"/>
    <mergeCell ref="F165:G165"/>
    <mergeCell ref="F166:G166"/>
    <mergeCell ref="F152:G152"/>
    <mergeCell ref="F153:G153"/>
    <mergeCell ref="F154:G154"/>
    <mergeCell ref="F155:G155"/>
    <mergeCell ref="F156:G156"/>
    <mergeCell ref="F160:G160"/>
    <mergeCell ref="F170:G170"/>
    <mergeCell ref="F171:G171"/>
    <mergeCell ref="F172:G172"/>
    <mergeCell ref="E173:G173"/>
    <mergeCell ref="F174:G174"/>
    <mergeCell ref="F175:G175"/>
    <mergeCell ref="F167:G167"/>
    <mergeCell ref="E168:G168"/>
    <mergeCell ref="F169:G169"/>
    <mergeCell ref="F205:G205"/>
    <mergeCell ref="F209:G209"/>
    <mergeCell ref="F212:G212"/>
    <mergeCell ref="F213:G213"/>
    <mergeCell ref="F192:G192"/>
    <mergeCell ref="F195:G195"/>
    <mergeCell ref="F199:G199"/>
    <mergeCell ref="F202:G202"/>
    <mergeCell ref="F177:G177"/>
    <mergeCell ref="F179:G179"/>
    <mergeCell ref="E181:G181"/>
    <mergeCell ref="F182:G182"/>
    <mergeCell ref="F186:G186"/>
    <mergeCell ref="F189:G189"/>
    <mergeCell ref="F221:G221"/>
    <mergeCell ref="E222:G222"/>
    <mergeCell ref="F223:G223"/>
    <mergeCell ref="F224:G224"/>
    <mergeCell ref="F220:G220"/>
    <mergeCell ref="F216:G216"/>
    <mergeCell ref="F217:G217"/>
    <mergeCell ref="F218:G218"/>
    <mergeCell ref="F219:G219"/>
    <mergeCell ref="F250:G250"/>
    <mergeCell ref="F236:G236"/>
    <mergeCell ref="E237:G237"/>
    <mergeCell ref="F238:G238"/>
    <mergeCell ref="F233:G233"/>
    <mergeCell ref="F234:G234"/>
    <mergeCell ref="F235:G235"/>
    <mergeCell ref="E226:G226"/>
    <mergeCell ref="F227:G227"/>
    <mergeCell ref="F228:G228"/>
    <mergeCell ref="E230:G230"/>
    <mergeCell ref="F231:G231"/>
    <mergeCell ref="F232:G232"/>
    <mergeCell ref="C237:D237"/>
    <mergeCell ref="C253:D253"/>
    <mergeCell ref="C259:D259"/>
    <mergeCell ref="F260:G260"/>
    <mergeCell ref="E6:G6"/>
    <mergeCell ref="C53:D53"/>
    <mergeCell ref="C142:D142"/>
    <mergeCell ref="C168:D168"/>
    <mergeCell ref="C173:D173"/>
    <mergeCell ref="C181:D181"/>
    <mergeCell ref="C222:D222"/>
    <mergeCell ref="C226:D226"/>
    <mergeCell ref="C230:D230"/>
    <mergeCell ref="F251:G251"/>
    <mergeCell ref="E253:G253"/>
    <mergeCell ref="F254:G254"/>
    <mergeCell ref="F255:G255"/>
    <mergeCell ref="F256:G256"/>
    <mergeCell ref="E259:G259"/>
    <mergeCell ref="F241:G241"/>
    <mergeCell ref="F243:G243"/>
    <mergeCell ref="F246:G246"/>
    <mergeCell ref="F247:G247"/>
    <mergeCell ref="F248:G248"/>
  </mergeCells>
  <printOptions horizontalCentered="1"/>
  <pageMargins left="0.43307086614173229" right="0.43307086614173229" top="0.59055118110236227" bottom="0.39370078740157483" header="0" footer="0"/>
  <pageSetup paperSize="258" scale="70" fitToHeight="0" orientation="landscape" useFirstPageNumber="1" r:id="rId1"/>
  <headerFooter>
    <oddFooter>&amp;L&amp;"Cambria,Italic"&amp;7&amp;K05-049&amp;F / &amp;A&amp;C&amp;"Cambria,Italic"&amp;7&amp;K04-021Hal &amp;P dari &amp;N&amp;R&amp;"-,Italic"&amp;7&amp;K09-022&amp;D /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2:U264"/>
  <sheetViews>
    <sheetView view="pageBreakPreview" topLeftCell="B61" zoomScale="70" zoomScaleNormal="85" zoomScaleSheetLayoutView="70" workbookViewId="0">
      <selection activeCell="T52" sqref="T52"/>
    </sheetView>
  </sheetViews>
  <sheetFormatPr defaultRowHeight="12.75" x14ac:dyDescent="0.25"/>
  <cols>
    <col min="1" max="1" width="9" style="53" customWidth="1"/>
    <col min="2" max="2" width="0.5703125" style="13" customWidth="1"/>
    <col min="3" max="3" width="3.28515625" style="427" customWidth="1"/>
    <col min="4" max="4" width="4.140625" style="428" customWidth="1"/>
    <col min="5" max="5" width="3.5703125" style="428" customWidth="1"/>
    <col min="6" max="6" width="2.7109375" style="428" customWidth="1"/>
    <col min="7" max="7" width="56.7109375" style="429" customWidth="1"/>
    <col min="8" max="8" width="52" style="430" hidden="1" customWidth="1"/>
    <col min="9" max="9" width="9.85546875" style="431" customWidth="1"/>
    <col min="10" max="13" width="16.85546875" style="432" customWidth="1"/>
    <col min="14" max="14" width="20.140625" style="432" hidden="1" customWidth="1"/>
    <col min="15" max="15" width="22.140625" style="432" hidden="1" customWidth="1"/>
    <col min="16" max="16" width="0.5703125" style="291" customWidth="1"/>
    <col min="17" max="17" width="17.5703125" style="431" customWidth="1"/>
    <col min="18" max="18" width="4.85546875" style="500" customWidth="1"/>
    <col min="19" max="21" width="14.140625" style="53" customWidth="1"/>
    <col min="22" max="30" width="10.5703125" style="53" customWidth="1"/>
    <col min="31" max="236" width="9.140625" style="53"/>
    <col min="237" max="237" width="1.7109375" style="53" customWidth="1"/>
    <col min="238" max="239" width="4.7109375" style="53" customWidth="1"/>
    <col min="240" max="240" width="54.140625" style="53" customWidth="1"/>
    <col min="241" max="241" width="52" style="53" customWidth="1"/>
    <col min="242" max="242" width="5.28515625" style="53" customWidth="1"/>
    <col min="243" max="243" width="5.85546875" style="53" bestFit="1" customWidth="1"/>
    <col min="244" max="244" width="16.42578125" style="53" customWidth="1"/>
    <col min="245" max="245" width="4.5703125" style="53" customWidth="1"/>
    <col min="246" max="246" width="14.140625" style="53" customWidth="1"/>
    <col min="247" max="247" width="27.140625" style="53" customWidth="1"/>
    <col min="248" max="248" width="16.28515625" style="53" customWidth="1"/>
    <col min="249" max="249" width="13.85546875" style="53" customWidth="1"/>
    <col min="250" max="492" width="9.140625" style="53"/>
    <col min="493" max="493" width="1.7109375" style="53" customWidth="1"/>
    <col min="494" max="495" width="4.7109375" style="53" customWidth="1"/>
    <col min="496" max="496" width="54.140625" style="53" customWidth="1"/>
    <col min="497" max="497" width="52" style="53" customWidth="1"/>
    <col min="498" max="498" width="5.28515625" style="53" customWidth="1"/>
    <col min="499" max="499" width="5.85546875" style="53" bestFit="1" customWidth="1"/>
    <col min="500" max="500" width="16.42578125" style="53" customWidth="1"/>
    <col min="501" max="501" width="4.5703125" style="53" customWidth="1"/>
    <col min="502" max="502" width="14.140625" style="53" customWidth="1"/>
    <col min="503" max="503" width="27.140625" style="53" customWidth="1"/>
    <col min="504" max="504" width="16.28515625" style="53" customWidth="1"/>
    <col min="505" max="505" width="13.85546875" style="53" customWidth="1"/>
    <col min="506" max="748" width="9.140625" style="53"/>
    <col min="749" max="749" width="1.7109375" style="53" customWidth="1"/>
    <col min="750" max="751" width="4.7109375" style="53" customWidth="1"/>
    <col min="752" max="752" width="54.140625" style="53" customWidth="1"/>
    <col min="753" max="753" width="52" style="53" customWidth="1"/>
    <col min="754" max="754" width="5.28515625" style="53" customWidth="1"/>
    <col min="755" max="755" width="5.85546875" style="53" bestFit="1" customWidth="1"/>
    <col min="756" max="756" width="16.42578125" style="53" customWidth="1"/>
    <col min="757" max="757" width="4.5703125" style="53" customWidth="1"/>
    <col min="758" max="758" width="14.140625" style="53" customWidth="1"/>
    <col min="759" max="759" width="27.140625" style="53" customWidth="1"/>
    <col min="760" max="760" width="16.28515625" style="53" customWidth="1"/>
    <col min="761" max="761" width="13.85546875" style="53" customWidth="1"/>
    <col min="762" max="1004" width="9.140625" style="53"/>
    <col min="1005" max="1005" width="1.7109375" style="53" customWidth="1"/>
    <col min="1006" max="1007" width="4.7109375" style="53" customWidth="1"/>
    <col min="1008" max="1008" width="54.140625" style="53" customWidth="1"/>
    <col min="1009" max="1009" width="52" style="53" customWidth="1"/>
    <col min="1010" max="1010" width="5.28515625" style="53" customWidth="1"/>
    <col min="1011" max="1011" width="5.85546875" style="53" bestFit="1" customWidth="1"/>
    <col min="1012" max="1012" width="16.42578125" style="53" customWidth="1"/>
    <col min="1013" max="1013" width="4.5703125" style="53" customWidth="1"/>
    <col min="1014" max="1014" width="14.140625" style="53" customWidth="1"/>
    <col min="1015" max="1015" width="27.140625" style="53" customWidth="1"/>
    <col min="1016" max="1016" width="16.28515625" style="53" customWidth="1"/>
    <col min="1017" max="1017" width="13.85546875" style="53" customWidth="1"/>
    <col min="1018" max="1260" width="9.140625" style="53"/>
    <col min="1261" max="1261" width="1.7109375" style="53" customWidth="1"/>
    <col min="1262" max="1263" width="4.7109375" style="53" customWidth="1"/>
    <col min="1264" max="1264" width="54.140625" style="53" customWidth="1"/>
    <col min="1265" max="1265" width="52" style="53" customWidth="1"/>
    <col min="1266" max="1266" width="5.28515625" style="53" customWidth="1"/>
    <col min="1267" max="1267" width="5.85546875" style="53" bestFit="1" customWidth="1"/>
    <col min="1268" max="1268" width="16.42578125" style="53" customWidth="1"/>
    <col min="1269" max="1269" width="4.5703125" style="53" customWidth="1"/>
    <col min="1270" max="1270" width="14.140625" style="53" customWidth="1"/>
    <col min="1271" max="1271" width="27.140625" style="53" customWidth="1"/>
    <col min="1272" max="1272" width="16.28515625" style="53" customWidth="1"/>
    <col min="1273" max="1273" width="13.85546875" style="53" customWidth="1"/>
    <col min="1274" max="1516" width="9.140625" style="53"/>
    <col min="1517" max="1517" width="1.7109375" style="53" customWidth="1"/>
    <col min="1518" max="1519" width="4.7109375" style="53" customWidth="1"/>
    <col min="1520" max="1520" width="54.140625" style="53" customWidth="1"/>
    <col min="1521" max="1521" width="52" style="53" customWidth="1"/>
    <col min="1522" max="1522" width="5.28515625" style="53" customWidth="1"/>
    <col min="1523" max="1523" width="5.85546875" style="53" bestFit="1" customWidth="1"/>
    <col min="1524" max="1524" width="16.42578125" style="53" customWidth="1"/>
    <col min="1525" max="1525" width="4.5703125" style="53" customWidth="1"/>
    <col min="1526" max="1526" width="14.140625" style="53" customWidth="1"/>
    <col min="1527" max="1527" width="27.140625" style="53" customWidth="1"/>
    <col min="1528" max="1528" width="16.28515625" style="53" customWidth="1"/>
    <col min="1529" max="1529" width="13.85546875" style="53" customWidth="1"/>
    <col min="1530" max="1772" width="9.140625" style="53"/>
    <col min="1773" max="1773" width="1.7109375" style="53" customWidth="1"/>
    <col min="1774" max="1775" width="4.7109375" style="53" customWidth="1"/>
    <col min="1776" max="1776" width="54.140625" style="53" customWidth="1"/>
    <col min="1777" max="1777" width="52" style="53" customWidth="1"/>
    <col min="1778" max="1778" width="5.28515625" style="53" customWidth="1"/>
    <col min="1779" max="1779" width="5.85546875" style="53" bestFit="1" customWidth="1"/>
    <col min="1780" max="1780" width="16.42578125" style="53" customWidth="1"/>
    <col min="1781" max="1781" width="4.5703125" style="53" customWidth="1"/>
    <col min="1782" max="1782" width="14.140625" style="53" customWidth="1"/>
    <col min="1783" max="1783" width="27.140625" style="53" customWidth="1"/>
    <col min="1784" max="1784" width="16.28515625" style="53" customWidth="1"/>
    <col min="1785" max="1785" width="13.85546875" style="53" customWidth="1"/>
    <col min="1786" max="2028" width="9.140625" style="53"/>
    <col min="2029" max="2029" width="1.7109375" style="53" customWidth="1"/>
    <col min="2030" max="2031" width="4.7109375" style="53" customWidth="1"/>
    <col min="2032" max="2032" width="54.140625" style="53" customWidth="1"/>
    <col min="2033" max="2033" width="52" style="53" customWidth="1"/>
    <col min="2034" max="2034" width="5.28515625" style="53" customWidth="1"/>
    <col min="2035" max="2035" width="5.85546875" style="53" bestFit="1" customWidth="1"/>
    <col min="2036" max="2036" width="16.42578125" style="53" customWidth="1"/>
    <col min="2037" max="2037" width="4.5703125" style="53" customWidth="1"/>
    <col min="2038" max="2038" width="14.140625" style="53" customWidth="1"/>
    <col min="2039" max="2039" width="27.140625" style="53" customWidth="1"/>
    <col min="2040" max="2040" width="16.28515625" style="53" customWidth="1"/>
    <col min="2041" max="2041" width="13.85546875" style="53" customWidth="1"/>
    <col min="2042" max="2284" width="9.140625" style="53"/>
    <col min="2285" max="2285" width="1.7109375" style="53" customWidth="1"/>
    <col min="2286" max="2287" width="4.7109375" style="53" customWidth="1"/>
    <col min="2288" max="2288" width="54.140625" style="53" customWidth="1"/>
    <col min="2289" max="2289" width="52" style="53" customWidth="1"/>
    <col min="2290" max="2290" width="5.28515625" style="53" customWidth="1"/>
    <col min="2291" max="2291" width="5.85546875" style="53" bestFit="1" customWidth="1"/>
    <col min="2292" max="2292" width="16.42578125" style="53" customWidth="1"/>
    <col min="2293" max="2293" width="4.5703125" style="53" customWidth="1"/>
    <col min="2294" max="2294" width="14.140625" style="53" customWidth="1"/>
    <col min="2295" max="2295" width="27.140625" style="53" customWidth="1"/>
    <col min="2296" max="2296" width="16.28515625" style="53" customWidth="1"/>
    <col min="2297" max="2297" width="13.85546875" style="53" customWidth="1"/>
    <col min="2298" max="2540" width="9.140625" style="53"/>
    <col min="2541" max="2541" width="1.7109375" style="53" customWidth="1"/>
    <col min="2542" max="2543" width="4.7109375" style="53" customWidth="1"/>
    <col min="2544" max="2544" width="54.140625" style="53" customWidth="1"/>
    <col min="2545" max="2545" width="52" style="53" customWidth="1"/>
    <col min="2546" max="2546" width="5.28515625" style="53" customWidth="1"/>
    <col min="2547" max="2547" width="5.85546875" style="53" bestFit="1" customWidth="1"/>
    <col min="2548" max="2548" width="16.42578125" style="53" customWidth="1"/>
    <col min="2549" max="2549" width="4.5703125" style="53" customWidth="1"/>
    <col min="2550" max="2550" width="14.140625" style="53" customWidth="1"/>
    <col min="2551" max="2551" width="27.140625" style="53" customWidth="1"/>
    <col min="2552" max="2552" width="16.28515625" style="53" customWidth="1"/>
    <col min="2553" max="2553" width="13.85546875" style="53" customWidth="1"/>
    <col min="2554" max="2796" width="9.140625" style="53"/>
    <col min="2797" max="2797" width="1.7109375" style="53" customWidth="1"/>
    <col min="2798" max="2799" width="4.7109375" style="53" customWidth="1"/>
    <col min="2800" max="2800" width="54.140625" style="53" customWidth="1"/>
    <col min="2801" max="2801" width="52" style="53" customWidth="1"/>
    <col min="2802" max="2802" width="5.28515625" style="53" customWidth="1"/>
    <col min="2803" max="2803" width="5.85546875" style="53" bestFit="1" customWidth="1"/>
    <col min="2804" max="2804" width="16.42578125" style="53" customWidth="1"/>
    <col min="2805" max="2805" width="4.5703125" style="53" customWidth="1"/>
    <col min="2806" max="2806" width="14.140625" style="53" customWidth="1"/>
    <col min="2807" max="2807" width="27.140625" style="53" customWidth="1"/>
    <col min="2808" max="2808" width="16.28515625" style="53" customWidth="1"/>
    <col min="2809" max="2809" width="13.85546875" style="53" customWidth="1"/>
    <col min="2810" max="3052" width="9.140625" style="53"/>
    <col min="3053" max="3053" width="1.7109375" style="53" customWidth="1"/>
    <col min="3054" max="3055" width="4.7109375" style="53" customWidth="1"/>
    <col min="3056" max="3056" width="54.140625" style="53" customWidth="1"/>
    <col min="3057" max="3057" width="52" style="53" customWidth="1"/>
    <col min="3058" max="3058" width="5.28515625" style="53" customWidth="1"/>
    <col min="3059" max="3059" width="5.85546875" style="53" bestFit="1" customWidth="1"/>
    <col min="3060" max="3060" width="16.42578125" style="53" customWidth="1"/>
    <col min="3061" max="3061" width="4.5703125" style="53" customWidth="1"/>
    <col min="3062" max="3062" width="14.140625" style="53" customWidth="1"/>
    <col min="3063" max="3063" width="27.140625" style="53" customWidth="1"/>
    <col min="3064" max="3064" width="16.28515625" style="53" customWidth="1"/>
    <col min="3065" max="3065" width="13.85546875" style="53" customWidth="1"/>
    <col min="3066" max="3308" width="9.140625" style="53"/>
    <col min="3309" max="3309" width="1.7109375" style="53" customWidth="1"/>
    <col min="3310" max="3311" width="4.7109375" style="53" customWidth="1"/>
    <col min="3312" max="3312" width="54.140625" style="53" customWidth="1"/>
    <col min="3313" max="3313" width="52" style="53" customWidth="1"/>
    <col min="3314" max="3314" width="5.28515625" style="53" customWidth="1"/>
    <col min="3315" max="3315" width="5.85546875" style="53" bestFit="1" customWidth="1"/>
    <col min="3316" max="3316" width="16.42578125" style="53" customWidth="1"/>
    <col min="3317" max="3317" width="4.5703125" style="53" customWidth="1"/>
    <col min="3318" max="3318" width="14.140625" style="53" customWidth="1"/>
    <col min="3319" max="3319" width="27.140625" style="53" customWidth="1"/>
    <col min="3320" max="3320" width="16.28515625" style="53" customWidth="1"/>
    <col min="3321" max="3321" width="13.85546875" style="53" customWidth="1"/>
    <col min="3322" max="3564" width="9.140625" style="53"/>
    <col min="3565" max="3565" width="1.7109375" style="53" customWidth="1"/>
    <col min="3566" max="3567" width="4.7109375" style="53" customWidth="1"/>
    <col min="3568" max="3568" width="54.140625" style="53" customWidth="1"/>
    <col min="3569" max="3569" width="52" style="53" customWidth="1"/>
    <col min="3570" max="3570" width="5.28515625" style="53" customWidth="1"/>
    <col min="3571" max="3571" width="5.85546875" style="53" bestFit="1" customWidth="1"/>
    <col min="3572" max="3572" width="16.42578125" style="53" customWidth="1"/>
    <col min="3573" max="3573" width="4.5703125" style="53" customWidth="1"/>
    <col min="3574" max="3574" width="14.140625" style="53" customWidth="1"/>
    <col min="3575" max="3575" width="27.140625" style="53" customWidth="1"/>
    <col min="3576" max="3576" width="16.28515625" style="53" customWidth="1"/>
    <col min="3577" max="3577" width="13.85546875" style="53" customWidth="1"/>
    <col min="3578" max="3820" width="9.140625" style="53"/>
    <col min="3821" max="3821" width="1.7109375" style="53" customWidth="1"/>
    <col min="3822" max="3823" width="4.7109375" style="53" customWidth="1"/>
    <col min="3824" max="3824" width="54.140625" style="53" customWidth="1"/>
    <col min="3825" max="3825" width="52" style="53" customWidth="1"/>
    <col min="3826" max="3826" width="5.28515625" style="53" customWidth="1"/>
    <col min="3827" max="3827" width="5.85546875" style="53" bestFit="1" customWidth="1"/>
    <col min="3828" max="3828" width="16.42578125" style="53" customWidth="1"/>
    <col min="3829" max="3829" width="4.5703125" style="53" customWidth="1"/>
    <col min="3830" max="3830" width="14.140625" style="53" customWidth="1"/>
    <col min="3831" max="3831" width="27.140625" style="53" customWidth="1"/>
    <col min="3832" max="3832" width="16.28515625" style="53" customWidth="1"/>
    <col min="3833" max="3833" width="13.85546875" style="53" customWidth="1"/>
    <col min="3834" max="4076" width="9.140625" style="53"/>
    <col min="4077" max="4077" width="1.7109375" style="53" customWidth="1"/>
    <col min="4078" max="4079" width="4.7109375" style="53" customWidth="1"/>
    <col min="4080" max="4080" width="54.140625" style="53" customWidth="1"/>
    <col min="4081" max="4081" width="52" style="53" customWidth="1"/>
    <col min="4082" max="4082" width="5.28515625" style="53" customWidth="1"/>
    <col min="4083" max="4083" width="5.85546875" style="53" bestFit="1" customWidth="1"/>
    <col min="4084" max="4084" width="16.42578125" style="53" customWidth="1"/>
    <col min="4085" max="4085" width="4.5703125" style="53" customWidth="1"/>
    <col min="4086" max="4086" width="14.140625" style="53" customWidth="1"/>
    <col min="4087" max="4087" width="27.140625" style="53" customWidth="1"/>
    <col min="4088" max="4088" width="16.28515625" style="53" customWidth="1"/>
    <col min="4089" max="4089" width="13.85546875" style="53" customWidth="1"/>
    <col min="4090" max="4332" width="9.140625" style="53"/>
    <col min="4333" max="4333" width="1.7109375" style="53" customWidth="1"/>
    <col min="4334" max="4335" width="4.7109375" style="53" customWidth="1"/>
    <col min="4336" max="4336" width="54.140625" style="53" customWidth="1"/>
    <col min="4337" max="4337" width="52" style="53" customWidth="1"/>
    <col min="4338" max="4338" width="5.28515625" style="53" customWidth="1"/>
    <col min="4339" max="4339" width="5.85546875" style="53" bestFit="1" customWidth="1"/>
    <col min="4340" max="4340" width="16.42578125" style="53" customWidth="1"/>
    <col min="4341" max="4341" width="4.5703125" style="53" customWidth="1"/>
    <col min="4342" max="4342" width="14.140625" style="53" customWidth="1"/>
    <col min="4343" max="4343" width="27.140625" style="53" customWidth="1"/>
    <col min="4344" max="4344" width="16.28515625" style="53" customWidth="1"/>
    <col min="4345" max="4345" width="13.85546875" style="53" customWidth="1"/>
    <col min="4346" max="4588" width="9.140625" style="53"/>
    <col min="4589" max="4589" width="1.7109375" style="53" customWidth="1"/>
    <col min="4590" max="4591" width="4.7109375" style="53" customWidth="1"/>
    <col min="4592" max="4592" width="54.140625" style="53" customWidth="1"/>
    <col min="4593" max="4593" width="52" style="53" customWidth="1"/>
    <col min="4594" max="4594" width="5.28515625" style="53" customWidth="1"/>
    <col min="4595" max="4595" width="5.85546875" style="53" bestFit="1" customWidth="1"/>
    <col min="4596" max="4596" width="16.42578125" style="53" customWidth="1"/>
    <col min="4597" max="4597" width="4.5703125" style="53" customWidth="1"/>
    <col min="4598" max="4598" width="14.140625" style="53" customWidth="1"/>
    <col min="4599" max="4599" width="27.140625" style="53" customWidth="1"/>
    <col min="4600" max="4600" width="16.28515625" style="53" customWidth="1"/>
    <col min="4601" max="4601" width="13.85546875" style="53" customWidth="1"/>
    <col min="4602" max="4844" width="9.140625" style="53"/>
    <col min="4845" max="4845" width="1.7109375" style="53" customWidth="1"/>
    <col min="4846" max="4847" width="4.7109375" style="53" customWidth="1"/>
    <col min="4848" max="4848" width="54.140625" style="53" customWidth="1"/>
    <col min="4849" max="4849" width="52" style="53" customWidth="1"/>
    <col min="4850" max="4850" width="5.28515625" style="53" customWidth="1"/>
    <col min="4851" max="4851" width="5.85546875" style="53" bestFit="1" customWidth="1"/>
    <col min="4852" max="4852" width="16.42578125" style="53" customWidth="1"/>
    <col min="4853" max="4853" width="4.5703125" style="53" customWidth="1"/>
    <col min="4854" max="4854" width="14.140625" style="53" customWidth="1"/>
    <col min="4855" max="4855" width="27.140625" style="53" customWidth="1"/>
    <col min="4856" max="4856" width="16.28515625" style="53" customWidth="1"/>
    <col min="4857" max="4857" width="13.85546875" style="53" customWidth="1"/>
    <col min="4858" max="5100" width="9.140625" style="53"/>
    <col min="5101" max="5101" width="1.7109375" style="53" customWidth="1"/>
    <col min="5102" max="5103" width="4.7109375" style="53" customWidth="1"/>
    <col min="5104" max="5104" width="54.140625" style="53" customWidth="1"/>
    <col min="5105" max="5105" width="52" style="53" customWidth="1"/>
    <col min="5106" max="5106" width="5.28515625" style="53" customWidth="1"/>
    <col min="5107" max="5107" width="5.85546875" style="53" bestFit="1" customWidth="1"/>
    <col min="5108" max="5108" width="16.42578125" style="53" customWidth="1"/>
    <col min="5109" max="5109" width="4.5703125" style="53" customWidth="1"/>
    <col min="5110" max="5110" width="14.140625" style="53" customWidth="1"/>
    <col min="5111" max="5111" width="27.140625" style="53" customWidth="1"/>
    <col min="5112" max="5112" width="16.28515625" style="53" customWidth="1"/>
    <col min="5113" max="5113" width="13.85546875" style="53" customWidth="1"/>
    <col min="5114" max="5356" width="9.140625" style="53"/>
    <col min="5357" max="5357" width="1.7109375" style="53" customWidth="1"/>
    <col min="5358" max="5359" width="4.7109375" style="53" customWidth="1"/>
    <col min="5360" max="5360" width="54.140625" style="53" customWidth="1"/>
    <col min="5361" max="5361" width="52" style="53" customWidth="1"/>
    <col min="5362" max="5362" width="5.28515625" style="53" customWidth="1"/>
    <col min="5363" max="5363" width="5.85546875" style="53" bestFit="1" customWidth="1"/>
    <col min="5364" max="5364" width="16.42578125" style="53" customWidth="1"/>
    <col min="5365" max="5365" width="4.5703125" style="53" customWidth="1"/>
    <col min="5366" max="5366" width="14.140625" style="53" customWidth="1"/>
    <col min="5367" max="5367" width="27.140625" style="53" customWidth="1"/>
    <col min="5368" max="5368" width="16.28515625" style="53" customWidth="1"/>
    <col min="5369" max="5369" width="13.85546875" style="53" customWidth="1"/>
    <col min="5370" max="5612" width="9.140625" style="53"/>
    <col min="5613" max="5613" width="1.7109375" style="53" customWidth="1"/>
    <col min="5614" max="5615" width="4.7109375" style="53" customWidth="1"/>
    <col min="5616" max="5616" width="54.140625" style="53" customWidth="1"/>
    <col min="5617" max="5617" width="52" style="53" customWidth="1"/>
    <col min="5618" max="5618" width="5.28515625" style="53" customWidth="1"/>
    <col min="5619" max="5619" width="5.85546875" style="53" bestFit="1" customWidth="1"/>
    <col min="5620" max="5620" width="16.42578125" style="53" customWidth="1"/>
    <col min="5621" max="5621" width="4.5703125" style="53" customWidth="1"/>
    <col min="5622" max="5622" width="14.140625" style="53" customWidth="1"/>
    <col min="5623" max="5623" width="27.140625" style="53" customWidth="1"/>
    <col min="5624" max="5624" width="16.28515625" style="53" customWidth="1"/>
    <col min="5625" max="5625" width="13.85546875" style="53" customWidth="1"/>
    <col min="5626" max="5868" width="9.140625" style="53"/>
    <col min="5869" max="5869" width="1.7109375" style="53" customWidth="1"/>
    <col min="5870" max="5871" width="4.7109375" style="53" customWidth="1"/>
    <col min="5872" max="5872" width="54.140625" style="53" customWidth="1"/>
    <col min="5873" max="5873" width="52" style="53" customWidth="1"/>
    <col min="5874" max="5874" width="5.28515625" style="53" customWidth="1"/>
    <col min="5875" max="5875" width="5.85546875" style="53" bestFit="1" customWidth="1"/>
    <col min="5876" max="5876" width="16.42578125" style="53" customWidth="1"/>
    <col min="5877" max="5877" width="4.5703125" style="53" customWidth="1"/>
    <col min="5878" max="5878" width="14.140625" style="53" customWidth="1"/>
    <col min="5879" max="5879" width="27.140625" style="53" customWidth="1"/>
    <col min="5880" max="5880" width="16.28515625" style="53" customWidth="1"/>
    <col min="5881" max="5881" width="13.85546875" style="53" customWidth="1"/>
    <col min="5882" max="6124" width="9.140625" style="53"/>
    <col min="6125" max="6125" width="1.7109375" style="53" customWidth="1"/>
    <col min="6126" max="6127" width="4.7109375" style="53" customWidth="1"/>
    <col min="6128" max="6128" width="54.140625" style="53" customWidth="1"/>
    <col min="6129" max="6129" width="52" style="53" customWidth="1"/>
    <col min="6130" max="6130" width="5.28515625" style="53" customWidth="1"/>
    <col min="6131" max="6131" width="5.85546875" style="53" bestFit="1" customWidth="1"/>
    <col min="6132" max="6132" width="16.42578125" style="53" customWidth="1"/>
    <col min="6133" max="6133" width="4.5703125" style="53" customWidth="1"/>
    <col min="6134" max="6134" width="14.140625" style="53" customWidth="1"/>
    <col min="6135" max="6135" width="27.140625" style="53" customWidth="1"/>
    <col min="6136" max="6136" width="16.28515625" style="53" customWidth="1"/>
    <col min="6137" max="6137" width="13.85546875" style="53" customWidth="1"/>
    <col min="6138" max="6380" width="9.140625" style="53"/>
    <col min="6381" max="6381" width="1.7109375" style="53" customWidth="1"/>
    <col min="6382" max="6383" width="4.7109375" style="53" customWidth="1"/>
    <col min="6384" max="6384" width="54.140625" style="53" customWidth="1"/>
    <col min="6385" max="6385" width="52" style="53" customWidth="1"/>
    <col min="6386" max="6386" width="5.28515625" style="53" customWidth="1"/>
    <col min="6387" max="6387" width="5.85546875" style="53" bestFit="1" customWidth="1"/>
    <col min="6388" max="6388" width="16.42578125" style="53" customWidth="1"/>
    <col min="6389" max="6389" width="4.5703125" style="53" customWidth="1"/>
    <col min="6390" max="6390" width="14.140625" style="53" customWidth="1"/>
    <col min="6391" max="6391" width="27.140625" style="53" customWidth="1"/>
    <col min="6392" max="6392" width="16.28515625" style="53" customWidth="1"/>
    <col min="6393" max="6393" width="13.85546875" style="53" customWidth="1"/>
    <col min="6394" max="6636" width="9.140625" style="53"/>
    <col min="6637" max="6637" width="1.7109375" style="53" customWidth="1"/>
    <col min="6638" max="6639" width="4.7109375" style="53" customWidth="1"/>
    <col min="6640" max="6640" width="54.140625" style="53" customWidth="1"/>
    <col min="6641" max="6641" width="52" style="53" customWidth="1"/>
    <col min="6642" max="6642" width="5.28515625" style="53" customWidth="1"/>
    <col min="6643" max="6643" width="5.85546875" style="53" bestFit="1" customWidth="1"/>
    <col min="6644" max="6644" width="16.42578125" style="53" customWidth="1"/>
    <col min="6645" max="6645" width="4.5703125" style="53" customWidth="1"/>
    <col min="6646" max="6646" width="14.140625" style="53" customWidth="1"/>
    <col min="6647" max="6647" width="27.140625" style="53" customWidth="1"/>
    <col min="6648" max="6648" width="16.28515625" style="53" customWidth="1"/>
    <col min="6649" max="6649" width="13.85546875" style="53" customWidth="1"/>
    <col min="6650" max="6892" width="9.140625" style="53"/>
    <col min="6893" max="6893" width="1.7109375" style="53" customWidth="1"/>
    <col min="6894" max="6895" width="4.7109375" style="53" customWidth="1"/>
    <col min="6896" max="6896" width="54.140625" style="53" customWidth="1"/>
    <col min="6897" max="6897" width="52" style="53" customWidth="1"/>
    <col min="6898" max="6898" width="5.28515625" style="53" customWidth="1"/>
    <col min="6899" max="6899" width="5.85546875" style="53" bestFit="1" customWidth="1"/>
    <col min="6900" max="6900" width="16.42578125" style="53" customWidth="1"/>
    <col min="6901" max="6901" width="4.5703125" style="53" customWidth="1"/>
    <col min="6902" max="6902" width="14.140625" style="53" customWidth="1"/>
    <col min="6903" max="6903" width="27.140625" style="53" customWidth="1"/>
    <col min="6904" max="6904" width="16.28515625" style="53" customWidth="1"/>
    <col min="6905" max="6905" width="13.85546875" style="53" customWidth="1"/>
    <col min="6906" max="7148" width="9.140625" style="53"/>
    <col min="7149" max="7149" width="1.7109375" style="53" customWidth="1"/>
    <col min="7150" max="7151" width="4.7109375" style="53" customWidth="1"/>
    <col min="7152" max="7152" width="54.140625" style="53" customWidth="1"/>
    <col min="7153" max="7153" width="52" style="53" customWidth="1"/>
    <col min="7154" max="7154" width="5.28515625" style="53" customWidth="1"/>
    <col min="7155" max="7155" width="5.85546875" style="53" bestFit="1" customWidth="1"/>
    <col min="7156" max="7156" width="16.42578125" style="53" customWidth="1"/>
    <col min="7157" max="7157" width="4.5703125" style="53" customWidth="1"/>
    <col min="7158" max="7158" width="14.140625" style="53" customWidth="1"/>
    <col min="7159" max="7159" width="27.140625" style="53" customWidth="1"/>
    <col min="7160" max="7160" width="16.28515625" style="53" customWidth="1"/>
    <col min="7161" max="7161" width="13.85546875" style="53" customWidth="1"/>
    <col min="7162" max="7404" width="9.140625" style="53"/>
    <col min="7405" max="7405" width="1.7109375" style="53" customWidth="1"/>
    <col min="7406" max="7407" width="4.7109375" style="53" customWidth="1"/>
    <col min="7408" max="7408" width="54.140625" style="53" customWidth="1"/>
    <col min="7409" max="7409" width="52" style="53" customWidth="1"/>
    <col min="7410" max="7410" width="5.28515625" style="53" customWidth="1"/>
    <col min="7411" max="7411" width="5.85546875" style="53" bestFit="1" customWidth="1"/>
    <col min="7412" max="7412" width="16.42578125" style="53" customWidth="1"/>
    <col min="7413" max="7413" width="4.5703125" style="53" customWidth="1"/>
    <col min="7414" max="7414" width="14.140625" style="53" customWidth="1"/>
    <col min="7415" max="7415" width="27.140625" style="53" customWidth="1"/>
    <col min="7416" max="7416" width="16.28515625" style="53" customWidth="1"/>
    <col min="7417" max="7417" width="13.85546875" style="53" customWidth="1"/>
    <col min="7418" max="7660" width="9.140625" style="53"/>
    <col min="7661" max="7661" width="1.7109375" style="53" customWidth="1"/>
    <col min="7662" max="7663" width="4.7109375" style="53" customWidth="1"/>
    <col min="7664" max="7664" width="54.140625" style="53" customWidth="1"/>
    <col min="7665" max="7665" width="52" style="53" customWidth="1"/>
    <col min="7666" max="7666" width="5.28515625" style="53" customWidth="1"/>
    <col min="7667" max="7667" width="5.85546875" style="53" bestFit="1" customWidth="1"/>
    <col min="7668" max="7668" width="16.42578125" style="53" customWidth="1"/>
    <col min="7669" max="7669" width="4.5703125" style="53" customWidth="1"/>
    <col min="7670" max="7670" width="14.140625" style="53" customWidth="1"/>
    <col min="7671" max="7671" width="27.140625" style="53" customWidth="1"/>
    <col min="7672" max="7672" width="16.28515625" style="53" customWidth="1"/>
    <col min="7673" max="7673" width="13.85546875" style="53" customWidth="1"/>
    <col min="7674" max="7916" width="9.140625" style="53"/>
    <col min="7917" max="7917" width="1.7109375" style="53" customWidth="1"/>
    <col min="7918" max="7919" width="4.7109375" style="53" customWidth="1"/>
    <col min="7920" max="7920" width="54.140625" style="53" customWidth="1"/>
    <col min="7921" max="7921" width="52" style="53" customWidth="1"/>
    <col min="7922" max="7922" width="5.28515625" style="53" customWidth="1"/>
    <col min="7923" max="7923" width="5.85546875" style="53" bestFit="1" customWidth="1"/>
    <col min="7924" max="7924" width="16.42578125" style="53" customWidth="1"/>
    <col min="7925" max="7925" width="4.5703125" style="53" customWidth="1"/>
    <col min="7926" max="7926" width="14.140625" style="53" customWidth="1"/>
    <col min="7927" max="7927" width="27.140625" style="53" customWidth="1"/>
    <col min="7928" max="7928" width="16.28515625" style="53" customWidth="1"/>
    <col min="7929" max="7929" width="13.85546875" style="53" customWidth="1"/>
    <col min="7930" max="8172" width="9.140625" style="53"/>
    <col min="8173" max="8173" width="1.7109375" style="53" customWidth="1"/>
    <col min="8174" max="8175" width="4.7109375" style="53" customWidth="1"/>
    <col min="8176" max="8176" width="54.140625" style="53" customWidth="1"/>
    <col min="8177" max="8177" width="52" style="53" customWidth="1"/>
    <col min="8178" max="8178" width="5.28515625" style="53" customWidth="1"/>
    <col min="8179" max="8179" width="5.85546875" style="53" bestFit="1" customWidth="1"/>
    <col min="8180" max="8180" width="16.42578125" style="53" customWidth="1"/>
    <col min="8181" max="8181" width="4.5703125" style="53" customWidth="1"/>
    <col min="8182" max="8182" width="14.140625" style="53" customWidth="1"/>
    <col min="8183" max="8183" width="27.140625" style="53" customWidth="1"/>
    <col min="8184" max="8184" width="16.28515625" style="53" customWidth="1"/>
    <col min="8185" max="8185" width="13.85546875" style="53" customWidth="1"/>
    <col min="8186" max="8428" width="9.140625" style="53"/>
    <col min="8429" max="8429" width="1.7109375" style="53" customWidth="1"/>
    <col min="8430" max="8431" width="4.7109375" style="53" customWidth="1"/>
    <col min="8432" max="8432" width="54.140625" style="53" customWidth="1"/>
    <col min="8433" max="8433" width="52" style="53" customWidth="1"/>
    <col min="8434" max="8434" width="5.28515625" style="53" customWidth="1"/>
    <col min="8435" max="8435" width="5.85546875" style="53" bestFit="1" customWidth="1"/>
    <col min="8436" max="8436" width="16.42578125" style="53" customWidth="1"/>
    <col min="8437" max="8437" width="4.5703125" style="53" customWidth="1"/>
    <col min="8438" max="8438" width="14.140625" style="53" customWidth="1"/>
    <col min="8439" max="8439" width="27.140625" style="53" customWidth="1"/>
    <col min="8440" max="8440" width="16.28515625" style="53" customWidth="1"/>
    <col min="8441" max="8441" width="13.85546875" style="53" customWidth="1"/>
    <col min="8442" max="8684" width="9.140625" style="53"/>
    <col min="8685" max="8685" width="1.7109375" style="53" customWidth="1"/>
    <col min="8686" max="8687" width="4.7109375" style="53" customWidth="1"/>
    <col min="8688" max="8688" width="54.140625" style="53" customWidth="1"/>
    <col min="8689" max="8689" width="52" style="53" customWidth="1"/>
    <col min="8690" max="8690" width="5.28515625" style="53" customWidth="1"/>
    <col min="8691" max="8691" width="5.85546875" style="53" bestFit="1" customWidth="1"/>
    <col min="8692" max="8692" width="16.42578125" style="53" customWidth="1"/>
    <col min="8693" max="8693" width="4.5703125" style="53" customWidth="1"/>
    <col min="8694" max="8694" width="14.140625" style="53" customWidth="1"/>
    <col min="8695" max="8695" width="27.140625" style="53" customWidth="1"/>
    <col min="8696" max="8696" width="16.28515625" style="53" customWidth="1"/>
    <col min="8697" max="8697" width="13.85546875" style="53" customWidth="1"/>
    <col min="8698" max="8940" width="9.140625" style="53"/>
    <col min="8941" max="8941" width="1.7109375" style="53" customWidth="1"/>
    <col min="8942" max="8943" width="4.7109375" style="53" customWidth="1"/>
    <col min="8944" max="8944" width="54.140625" style="53" customWidth="1"/>
    <col min="8945" max="8945" width="52" style="53" customWidth="1"/>
    <col min="8946" max="8946" width="5.28515625" style="53" customWidth="1"/>
    <col min="8947" max="8947" width="5.85546875" style="53" bestFit="1" customWidth="1"/>
    <col min="8948" max="8948" width="16.42578125" style="53" customWidth="1"/>
    <col min="8949" max="8949" width="4.5703125" style="53" customWidth="1"/>
    <col min="8950" max="8950" width="14.140625" style="53" customWidth="1"/>
    <col min="8951" max="8951" width="27.140625" style="53" customWidth="1"/>
    <col min="8952" max="8952" width="16.28515625" style="53" customWidth="1"/>
    <col min="8953" max="8953" width="13.85546875" style="53" customWidth="1"/>
    <col min="8954" max="9196" width="9.140625" style="53"/>
    <col min="9197" max="9197" width="1.7109375" style="53" customWidth="1"/>
    <col min="9198" max="9199" width="4.7109375" style="53" customWidth="1"/>
    <col min="9200" max="9200" width="54.140625" style="53" customWidth="1"/>
    <col min="9201" max="9201" width="52" style="53" customWidth="1"/>
    <col min="9202" max="9202" width="5.28515625" style="53" customWidth="1"/>
    <col min="9203" max="9203" width="5.85546875" style="53" bestFit="1" customWidth="1"/>
    <col min="9204" max="9204" width="16.42578125" style="53" customWidth="1"/>
    <col min="9205" max="9205" width="4.5703125" style="53" customWidth="1"/>
    <col min="9206" max="9206" width="14.140625" style="53" customWidth="1"/>
    <col min="9207" max="9207" width="27.140625" style="53" customWidth="1"/>
    <col min="9208" max="9208" width="16.28515625" style="53" customWidth="1"/>
    <col min="9209" max="9209" width="13.85546875" style="53" customWidth="1"/>
    <col min="9210" max="9452" width="9.140625" style="53"/>
    <col min="9453" max="9453" width="1.7109375" style="53" customWidth="1"/>
    <col min="9454" max="9455" width="4.7109375" style="53" customWidth="1"/>
    <col min="9456" max="9456" width="54.140625" style="53" customWidth="1"/>
    <col min="9457" max="9457" width="52" style="53" customWidth="1"/>
    <col min="9458" max="9458" width="5.28515625" style="53" customWidth="1"/>
    <col min="9459" max="9459" width="5.85546875" style="53" bestFit="1" customWidth="1"/>
    <col min="9460" max="9460" width="16.42578125" style="53" customWidth="1"/>
    <col min="9461" max="9461" width="4.5703125" style="53" customWidth="1"/>
    <col min="9462" max="9462" width="14.140625" style="53" customWidth="1"/>
    <col min="9463" max="9463" width="27.140625" style="53" customWidth="1"/>
    <col min="9464" max="9464" width="16.28515625" style="53" customWidth="1"/>
    <col min="9465" max="9465" width="13.85546875" style="53" customWidth="1"/>
    <col min="9466" max="9708" width="9.140625" style="53"/>
    <col min="9709" max="9709" width="1.7109375" style="53" customWidth="1"/>
    <col min="9710" max="9711" width="4.7109375" style="53" customWidth="1"/>
    <col min="9712" max="9712" width="54.140625" style="53" customWidth="1"/>
    <col min="9713" max="9713" width="52" style="53" customWidth="1"/>
    <col min="9714" max="9714" width="5.28515625" style="53" customWidth="1"/>
    <col min="9715" max="9715" width="5.85546875" style="53" bestFit="1" customWidth="1"/>
    <col min="9716" max="9716" width="16.42578125" style="53" customWidth="1"/>
    <col min="9717" max="9717" width="4.5703125" style="53" customWidth="1"/>
    <col min="9718" max="9718" width="14.140625" style="53" customWidth="1"/>
    <col min="9719" max="9719" width="27.140625" style="53" customWidth="1"/>
    <col min="9720" max="9720" width="16.28515625" style="53" customWidth="1"/>
    <col min="9721" max="9721" width="13.85546875" style="53" customWidth="1"/>
    <col min="9722" max="9964" width="9.140625" style="53"/>
    <col min="9965" max="9965" width="1.7109375" style="53" customWidth="1"/>
    <col min="9966" max="9967" width="4.7109375" style="53" customWidth="1"/>
    <col min="9968" max="9968" width="54.140625" style="53" customWidth="1"/>
    <col min="9969" max="9969" width="52" style="53" customWidth="1"/>
    <col min="9970" max="9970" width="5.28515625" style="53" customWidth="1"/>
    <col min="9971" max="9971" width="5.85546875" style="53" bestFit="1" customWidth="1"/>
    <col min="9972" max="9972" width="16.42578125" style="53" customWidth="1"/>
    <col min="9973" max="9973" width="4.5703125" style="53" customWidth="1"/>
    <col min="9974" max="9974" width="14.140625" style="53" customWidth="1"/>
    <col min="9975" max="9975" width="27.140625" style="53" customWidth="1"/>
    <col min="9976" max="9976" width="16.28515625" style="53" customWidth="1"/>
    <col min="9977" max="9977" width="13.85546875" style="53" customWidth="1"/>
    <col min="9978" max="10220" width="9.140625" style="53"/>
    <col min="10221" max="10221" width="1.7109375" style="53" customWidth="1"/>
    <col min="10222" max="10223" width="4.7109375" style="53" customWidth="1"/>
    <col min="10224" max="10224" width="54.140625" style="53" customWidth="1"/>
    <col min="10225" max="10225" width="52" style="53" customWidth="1"/>
    <col min="10226" max="10226" width="5.28515625" style="53" customWidth="1"/>
    <col min="10227" max="10227" width="5.85546875" style="53" bestFit="1" customWidth="1"/>
    <col min="10228" max="10228" width="16.42578125" style="53" customWidth="1"/>
    <col min="10229" max="10229" width="4.5703125" style="53" customWidth="1"/>
    <col min="10230" max="10230" width="14.140625" style="53" customWidth="1"/>
    <col min="10231" max="10231" width="27.140625" style="53" customWidth="1"/>
    <col min="10232" max="10232" width="16.28515625" style="53" customWidth="1"/>
    <col min="10233" max="10233" width="13.85546875" style="53" customWidth="1"/>
    <col min="10234" max="10476" width="9.140625" style="53"/>
    <col min="10477" max="10477" width="1.7109375" style="53" customWidth="1"/>
    <col min="10478" max="10479" width="4.7109375" style="53" customWidth="1"/>
    <col min="10480" max="10480" width="54.140625" style="53" customWidth="1"/>
    <col min="10481" max="10481" width="52" style="53" customWidth="1"/>
    <col min="10482" max="10482" width="5.28515625" style="53" customWidth="1"/>
    <col min="10483" max="10483" width="5.85546875" style="53" bestFit="1" customWidth="1"/>
    <col min="10484" max="10484" width="16.42578125" style="53" customWidth="1"/>
    <col min="10485" max="10485" width="4.5703125" style="53" customWidth="1"/>
    <col min="10486" max="10486" width="14.140625" style="53" customWidth="1"/>
    <col min="10487" max="10487" width="27.140625" style="53" customWidth="1"/>
    <col min="10488" max="10488" width="16.28515625" style="53" customWidth="1"/>
    <col min="10489" max="10489" width="13.85546875" style="53" customWidth="1"/>
    <col min="10490" max="10732" width="9.140625" style="53"/>
    <col min="10733" max="10733" width="1.7109375" style="53" customWidth="1"/>
    <col min="10734" max="10735" width="4.7109375" style="53" customWidth="1"/>
    <col min="10736" max="10736" width="54.140625" style="53" customWidth="1"/>
    <col min="10737" max="10737" width="52" style="53" customWidth="1"/>
    <col min="10738" max="10738" width="5.28515625" style="53" customWidth="1"/>
    <col min="10739" max="10739" width="5.85546875" style="53" bestFit="1" customWidth="1"/>
    <col min="10740" max="10740" width="16.42578125" style="53" customWidth="1"/>
    <col min="10741" max="10741" width="4.5703125" style="53" customWidth="1"/>
    <col min="10742" max="10742" width="14.140625" style="53" customWidth="1"/>
    <col min="10743" max="10743" width="27.140625" style="53" customWidth="1"/>
    <col min="10744" max="10744" width="16.28515625" style="53" customWidth="1"/>
    <col min="10745" max="10745" width="13.85546875" style="53" customWidth="1"/>
    <col min="10746" max="10988" width="9.140625" style="53"/>
    <col min="10989" max="10989" width="1.7109375" style="53" customWidth="1"/>
    <col min="10990" max="10991" width="4.7109375" style="53" customWidth="1"/>
    <col min="10992" max="10992" width="54.140625" style="53" customWidth="1"/>
    <col min="10993" max="10993" width="52" style="53" customWidth="1"/>
    <col min="10994" max="10994" width="5.28515625" style="53" customWidth="1"/>
    <col min="10995" max="10995" width="5.85546875" style="53" bestFit="1" customWidth="1"/>
    <col min="10996" max="10996" width="16.42578125" style="53" customWidth="1"/>
    <col min="10997" max="10997" width="4.5703125" style="53" customWidth="1"/>
    <col min="10998" max="10998" width="14.140625" style="53" customWidth="1"/>
    <col min="10999" max="10999" width="27.140625" style="53" customWidth="1"/>
    <col min="11000" max="11000" width="16.28515625" style="53" customWidth="1"/>
    <col min="11001" max="11001" width="13.85546875" style="53" customWidth="1"/>
    <col min="11002" max="11244" width="9.140625" style="53"/>
    <col min="11245" max="11245" width="1.7109375" style="53" customWidth="1"/>
    <col min="11246" max="11247" width="4.7109375" style="53" customWidth="1"/>
    <col min="11248" max="11248" width="54.140625" style="53" customWidth="1"/>
    <col min="11249" max="11249" width="52" style="53" customWidth="1"/>
    <col min="11250" max="11250" width="5.28515625" style="53" customWidth="1"/>
    <col min="11251" max="11251" width="5.85546875" style="53" bestFit="1" customWidth="1"/>
    <col min="11252" max="11252" width="16.42578125" style="53" customWidth="1"/>
    <col min="11253" max="11253" width="4.5703125" style="53" customWidth="1"/>
    <col min="11254" max="11254" width="14.140625" style="53" customWidth="1"/>
    <col min="11255" max="11255" width="27.140625" style="53" customWidth="1"/>
    <col min="11256" max="11256" width="16.28515625" style="53" customWidth="1"/>
    <col min="11257" max="11257" width="13.85546875" style="53" customWidth="1"/>
    <col min="11258" max="11500" width="9.140625" style="53"/>
    <col min="11501" max="11501" width="1.7109375" style="53" customWidth="1"/>
    <col min="11502" max="11503" width="4.7109375" style="53" customWidth="1"/>
    <col min="11504" max="11504" width="54.140625" style="53" customWidth="1"/>
    <col min="11505" max="11505" width="52" style="53" customWidth="1"/>
    <col min="11506" max="11506" width="5.28515625" style="53" customWidth="1"/>
    <col min="11507" max="11507" width="5.85546875" style="53" bestFit="1" customWidth="1"/>
    <col min="11508" max="11508" width="16.42578125" style="53" customWidth="1"/>
    <col min="11509" max="11509" width="4.5703125" style="53" customWidth="1"/>
    <col min="11510" max="11510" width="14.140625" style="53" customWidth="1"/>
    <col min="11511" max="11511" width="27.140625" style="53" customWidth="1"/>
    <col min="11512" max="11512" width="16.28515625" style="53" customWidth="1"/>
    <col min="11513" max="11513" width="13.85546875" style="53" customWidth="1"/>
    <col min="11514" max="11756" width="9.140625" style="53"/>
    <col min="11757" max="11757" width="1.7109375" style="53" customWidth="1"/>
    <col min="11758" max="11759" width="4.7109375" style="53" customWidth="1"/>
    <col min="11760" max="11760" width="54.140625" style="53" customWidth="1"/>
    <col min="11761" max="11761" width="52" style="53" customWidth="1"/>
    <col min="11762" max="11762" width="5.28515625" style="53" customWidth="1"/>
    <col min="11763" max="11763" width="5.85546875" style="53" bestFit="1" customWidth="1"/>
    <col min="11764" max="11764" width="16.42578125" style="53" customWidth="1"/>
    <col min="11765" max="11765" width="4.5703125" style="53" customWidth="1"/>
    <col min="11766" max="11766" width="14.140625" style="53" customWidth="1"/>
    <col min="11767" max="11767" width="27.140625" style="53" customWidth="1"/>
    <col min="11768" max="11768" width="16.28515625" style="53" customWidth="1"/>
    <col min="11769" max="11769" width="13.85546875" style="53" customWidth="1"/>
    <col min="11770" max="12012" width="9.140625" style="53"/>
    <col min="12013" max="12013" width="1.7109375" style="53" customWidth="1"/>
    <col min="12014" max="12015" width="4.7109375" style="53" customWidth="1"/>
    <col min="12016" max="12016" width="54.140625" style="53" customWidth="1"/>
    <col min="12017" max="12017" width="52" style="53" customWidth="1"/>
    <col min="12018" max="12018" width="5.28515625" style="53" customWidth="1"/>
    <col min="12019" max="12019" width="5.85546875" style="53" bestFit="1" customWidth="1"/>
    <col min="12020" max="12020" width="16.42578125" style="53" customWidth="1"/>
    <col min="12021" max="12021" width="4.5703125" style="53" customWidth="1"/>
    <col min="12022" max="12022" width="14.140625" style="53" customWidth="1"/>
    <col min="12023" max="12023" width="27.140625" style="53" customWidth="1"/>
    <col min="12024" max="12024" width="16.28515625" style="53" customWidth="1"/>
    <col min="12025" max="12025" width="13.85546875" style="53" customWidth="1"/>
    <col min="12026" max="12268" width="9.140625" style="53"/>
    <col min="12269" max="12269" width="1.7109375" style="53" customWidth="1"/>
    <col min="12270" max="12271" width="4.7109375" style="53" customWidth="1"/>
    <col min="12272" max="12272" width="54.140625" style="53" customWidth="1"/>
    <col min="12273" max="12273" width="52" style="53" customWidth="1"/>
    <col min="12274" max="12274" width="5.28515625" style="53" customWidth="1"/>
    <col min="12275" max="12275" width="5.85546875" style="53" bestFit="1" customWidth="1"/>
    <col min="12276" max="12276" width="16.42578125" style="53" customWidth="1"/>
    <col min="12277" max="12277" width="4.5703125" style="53" customWidth="1"/>
    <col min="12278" max="12278" width="14.140625" style="53" customWidth="1"/>
    <col min="12279" max="12279" width="27.140625" style="53" customWidth="1"/>
    <col min="12280" max="12280" width="16.28515625" style="53" customWidth="1"/>
    <col min="12281" max="12281" width="13.85546875" style="53" customWidth="1"/>
    <col min="12282" max="12524" width="9.140625" style="53"/>
    <col min="12525" max="12525" width="1.7109375" style="53" customWidth="1"/>
    <col min="12526" max="12527" width="4.7109375" style="53" customWidth="1"/>
    <col min="12528" max="12528" width="54.140625" style="53" customWidth="1"/>
    <col min="12529" max="12529" width="52" style="53" customWidth="1"/>
    <col min="12530" max="12530" width="5.28515625" style="53" customWidth="1"/>
    <col min="12531" max="12531" width="5.85546875" style="53" bestFit="1" customWidth="1"/>
    <col min="12532" max="12532" width="16.42578125" style="53" customWidth="1"/>
    <col min="12533" max="12533" width="4.5703125" style="53" customWidth="1"/>
    <col min="12534" max="12534" width="14.140625" style="53" customWidth="1"/>
    <col min="12535" max="12535" width="27.140625" style="53" customWidth="1"/>
    <col min="12536" max="12536" width="16.28515625" style="53" customWidth="1"/>
    <col min="12537" max="12537" width="13.85546875" style="53" customWidth="1"/>
    <col min="12538" max="12780" width="9.140625" style="53"/>
    <col min="12781" max="12781" width="1.7109375" style="53" customWidth="1"/>
    <col min="12782" max="12783" width="4.7109375" style="53" customWidth="1"/>
    <col min="12784" max="12784" width="54.140625" style="53" customWidth="1"/>
    <col min="12785" max="12785" width="52" style="53" customWidth="1"/>
    <col min="12786" max="12786" width="5.28515625" style="53" customWidth="1"/>
    <col min="12787" max="12787" width="5.85546875" style="53" bestFit="1" customWidth="1"/>
    <col min="12788" max="12788" width="16.42578125" style="53" customWidth="1"/>
    <col min="12789" max="12789" width="4.5703125" style="53" customWidth="1"/>
    <col min="12790" max="12790" width="14.140625" style="53" customWidth="1"/>
    <col min="12791" max="12791" width="27.140625" style="53" customWidth="1"/>
    <col min="12792" max="12792" width="16.28515625" style="53" customWidth="1"/>
    <col min="12793" max="12793" width="13.85546875" style="53" customWidth="1"/>
    <col min="12794" max="13036" width="9.140625" style="53"/>
    <col min="13037" max="13037" width="1.7109375" style="53" customWidth="1"/>
    <col min="13038" max="13039" width="4.7109375" style="53" customWidth="1"/>
    <col min="13040" max="13040" width="54.140625" style="53" customWidth="1"/>
    <col min="13041" max="13041" width="52" style="53" customWidth="1"/>
    <col min="13042" max="13042" width="5.28515625" style="53" customWidth="1"/>
    <col min="13043" max="13043" width="5.85546875" style="53" bestFit="1" customWidth="1"/>
    <col min="13044" max="13044" width="16.42578125" style="53" customWidth="1"/>
    <col min="13045" max="13045" width="4.5703125" style="53" customWidth="1"/>
    <col min="13046" max="13046" width="14.140625" style="53" customWidth="1"/>
    <col min="13047" max="13047" width="27.140625" style="53" customWidth="1"/>
    <col min="13048" max="13048" width="16.28515625" style="53" customWidth="1"/>
    <col min="13049" max="13049" width="13.85546875" style="53" customWidth="1"/>
    <col min="13050" max="13292" width="9.140625" style="53"/>
    <col min="13293" max="13293" width="1.7109375" style="53" customWidth="1"/>
    <col min="13294" max="13295" width="4.7109375" style="53" customWidth="1"/>
    <col min="13296" max="13296" width="54.140625" style="53" customWidth="1"/>
    <col min="13297" max="13297" width="52" style="53" customWidth="1"/>
    <col min="13298" max="13298" width="5.28515625" style="53" customWidth="1"/>
    <col min="13299" max="13299" width="5.85546875" style="53" bestFit="1" customWidth="1"/>
    <col min="13300" max="13300" width="16.42578125" style="53" customWidth="1"/>
    <col min="13301" max="13301" width="4.5703125" style="53" customWidth="1"/>
    <col min="13302" max="13302" width="14.140625" style="53" customWidth="1"/>
    <col min="13303" max="13303" width="27.140625" style="53" customWidth="1"/>
    <col min="13304" max="13304" width="16.28515625" style="53" customWidth="1"/>
    <col min="13305" max="13305" width="13.85546875" style="53" customWidth="1"/>
    <col min="13306" max="13548" width="9.140625" style="53"/>
    <col min="13549" max="13549" width="1.7109375" style="53" customWidth="1"/>
    <col min="13550" max="13551" width="4.7109375" style="53" customWidth="1"/>
    <col min="13552" max="13552" width="54.140625" style="53" customWidth="1"/>
    <col min="13553" max="13553" width="52" style="53" customWidth="1"/>
    <col min="13554" max="13554" width="5.28515625" style="53" customWidth="1"/>
    <col min="13555" max="13555" width="5.85546875" style="53" bestFit="1" customWidth="1"/>
    <col min="13556" max="13556" width="16.42578125" style="53" customWidth="1"/>
    <col min="13557" max="13557" width="4.5703125" style="53" customWidth="1"/>
    <col min="13558" max="13558" width="14.140625" style="53" customWidth="1"/>
    <col min="13559" max="13559" width="27.140625" style="53" customWidth="1"/>
    <col min="13560" max="13560" width="16.28515625" style="53" customWidth="1"/>
    <col min="13561" max="13561" width="13.85546875" style="53" customWidth="1"/>
    <col min="13562" max="13804" width="9.140625" style="53"/>
    <col min="13805" max="13805" width="1.7109375" style="53" customWidth="1"/>
    <col min="13806" max="13807" width="4.7109375" style="53" customWidth="1"/>
    <col min="13808" max="13808" width="54.140625" style="53" customWidth="1"/>
    <col min="13809" max="13809" width="52" style="53" customWidth="1"/>
    <col min="13810" max="13810" width="5.28515625" style="53" customWidth="1"/>
    <col min="13811" max="13811" width="5.85546875" style="53" bestFit="1" customWidth="1"/>
    <col min="13812" max="13812" width="16.42578125" style="53" customWidth="1"/>
    <col min="13813" max="13813" width="4.5703125" style="53" customWidth="1"/>
    <col min="13814" max="13814" width="14.140625" style="53" customWidth="1"/>
    <col min="13815" max="13815" width="27.140625" style="53" customWidth="1"/>
    <col min="13816" max="13816" width="16.28515625" style="53" customWidth="1"/>
    <col min="13817" max="13817" width="13.85546875" style="53" customWidth="1"/>
    <col min="13818" max="14060" width="9.140625" style="53"/>
    <col min="14061" max="14061" width="1.7109375" style="53" customWidth="1"/>
    <col min="14062" max="14063" width="4.7109375" style="53" customWidth="1"/>
    <col min="14064" max="14064" width="54.140625" style="53" customWidth="1"/>
    <col min="14065" max="14065" width="52" style="53" customWidth="1"/>
    <col min="14066" max="14066" width="5.28515625" style="53" customWidth="1"/>
    <col min="14067" max="14067" width="5.85546875" style="53" bestFit="1" customWidth="1"/>
    <col min="14068" max="14068" width="16.42578125" style="53" customWidth="1"/>
    <col min="14069" max="14069" width="4.5703125" style="53" customWidth="1"/>
    <col min="14070" max="14070" width="14.140625" style="53" customWidth="1"/>
    <col min="14071" max="14071" width="27.140625" style="53" customWidth="1"/>
    <col min="14072" max="14072" width="16.28515625" style="53" customWidth="1"/>
    <col min="14073" max="14073" width="13.85546875" style="53" customWidth="1"/>
    <col min="14074" max="14316" width="9.140625" style="53"/>
    <col min="14317" max="14317" width="1.7109375" style="53" customWidth="1"/>
    <col min="14318" max="14319" width="4.7109375" style="53" customWidth="1"/>
    <col min="14320" max="14320" width="54.140625" style="53" customWidth="1"/>
    <col min="14321" max="14321" width="52" style="53" customWidth="1"/>
    <col min="14322" max="14322" width="5.28515625" style="53" customWidth="1"/>
    <col min="14323" max="14323" width="5.85546875" style="53" bestFit="1" customWidth="1"/>
    <col min="14324" max="14324" width="16.42578125" style="53" customWidth="1"/>
    <col min="14325" max="14325" width="4.5703125" style="53" customWidth="1"/>
    <col min="14326" max="14326" width="14.140625" style="53" customWidth="1"/>
    <col min="14327" max="14327" width="27.140625" style="53" customWidth="1"/>
    <col min="14328" max="14328" width="16.28515625" style="53" customWidth="1"/>
    <col min="14329" max="14329" width="13.85546875" style="53" customWidth="1"/>
    <col min="14330" max="14572" width="9.140625" style="53"/>
    <col min="14573" max="14573" width="1.7109375" style="53" customWidth="1"/>
    <col min="14574" max="14575" width="4.7109375" style="53" customWidth="1"/>
    <col min="14576" max="14576" width="54.140625" style="53" customWidth="1"/>
    <col min="14577" max="14577" width="52" style="53" customWidth="1"/>
    <col min="14578" max="14578" width="5.28515625" style="53" customWidth="1"/>
    <col min="14579" max="14579" width="5.85546875" style="53" bestFit="1" customWidth="1"/>
    <col min="14580" max="14580" width="16.42578125" style="53" customWidth="1"/>
    <col min="14581" max="14581" width="4.5703125" style="53" customWidth="1"/>
    <col min="14582" max="14582" width="14.140625" style="53" customWidth="1"/>
    <col min="14583" max="14583" width="27.140625" style="53" customWidth="1"/>
    <col min="14584" max="14584" width="16.28515625" style="53" customWidth="1"/>
    <col min="14585" max="14585" width="13.85546875" style="53" customWidth="1"/>
    <col min="14586" max="14828" width="9.140625" style="53"/>
    <col min="14829" max="14829" width="1.7109375" style="53" customWidth="1"/>
    <col min="14830" max="14831" width="4.7109375" style="53" customWidth="1"/>
    <col min="14832" max="14832" width="54.140625" style="53" customWidth="1"/>
    <col min="14833" max="14833" width="52" style="53" customWidth="1"/>
    <col min="14834" max="14834" width="5.28515625" style="53" customWidth="1"/>
    <col min="14835" max="14835" width="5.85546875" style="53" bestFit="1" customWidth="1"/>
    <col min="14836" max="14836" width="16.42578125" style="53" customWidth="1"/>
    <col min="14837" max="14837" width="4.5703125" style="53" customWidth="1"/>
    <col min="14838" max="14838" width="14.140625" style="53" customWidth="1"/>
    <col min="14839" max="14839" width="27.140625" style="53" customWidth="1"/>
    <col min="14840" max="14840" width="16.28515625" style="53" customWidth="1"/>
    <col min="14841" max="14841" width="13.85546875" style="53" customWidth="1"/>
    <col min="14842" max="15084" width="9.140625" style="53"/>
    <col min="15085" max="15085" width="1.7109375" style="53" customWidth="1"/>
    <col min="15086" max="15087" width="4.7109375" style="53" customWidth="1"/>
    <col min="15088" max="15088" width="54.140625" style="53" customWidth="1"/>
    <col min="15089" max="15089" width="52" style="53" customWidth="1"/>
    <col min="15090" max="15090" width="5.28515625" style="53" customWidth="1"/>
    <col min="15091" max="15091" width="5.85546875" style="53" bestFit="1" customWidth="1"/>
    <col min="15092" max="15092" width="16.42578125" style="53" customWidth="1"/>
    <col min="15093" max="15093" width="4.5703125" style="53" customWidth="1"/>
    <col min="15094" max="15094" width="14.140625" style="53" customWidth="1"/>
    <col min="15095" max="15095" width="27.140625" style="53" customWidth="1"/>
    <col min="15096" max="15096" width="16.28515625" style="53" customWidth="1"/>
    <col min="15097" max="15097" width="13.85546875" style="53" customWidth="1"/>
    <col min="15098" max="15340" width="9.140625" style="53"/>
    <col min="15341" max="15341" width="1.7109375" style="53" customWidth="1"/>
    <col min="15342" max="15343" width="4.7109375" style="53" customWidth="1"/>
    <col min="15344" max="15344" width="54.140625" style="53" customWidth="1"/>
    <col min="15345" max="15345" width="52" style="53" customWidth="1"/>
    <col min="15346" max="15346" width="5.28515625" style="53" customWidth="1"/>
    <col min="15347" max="15347" width="5.85546875" style="53" bestFit="1" customWidth="1"/>
    <col min="15348" max="15348" width="16.42578125" style="53" customWidth="1"/>
    <col min="15349" max="15349" width="4.5703125" style="53" customWidth="1"/>
    <col min="15350" max="15350" width="14.140625" style="53" customWidth="1"/>
    <col min="15351" max="15351" width="27.140625" style="53" customWidth="1"/>
    <col min="15352" max="15352" width="16.28515625" style="53" customWidth="1"/>
    <col min="15353" max="15353" width="13.85546875" style="53" customWidth="1"/>
    <col min="15354" max="15596" width="9.140625" style="53"/>
    <col min="15597" max="15597" width="1.7109375" style="53" customWidth="1"/>
    <col min="15598" max="15599" width="4.7109375" style="53" customWidth="1"/>
    <col min="15600" max="15600" width="54.140625" style="53" customWidth="1"/>
    <col min="15601" max="15601" width="52" style="53" customWidth="1"/>
    <col min="15602" max="15602" width="5.28515625" style="53" customWidth="1"/>
    <col min="15603" max="15603" width="5.85546875" style="53" bestFit="1" customWidth="1"/>
    <col min="15604" max="15604" width="16.42578125" style="53" customWidth="1"/>
    <col min="15605" max="15605" width="4.5703125" style="53" customWidth="1"/>
    <col min="15606" max="15606" width="14.140625" style="53" customWidth="1"/>
    <col min="15607" max="15607" width="27.140625" style="53" customWidth="1"/>
    <col min="15608" max="15608" width="16.28515625" style="53" customWidth="1"/>
    <col min="15609" max="15609" width="13.85546875" style="53" customWidth="1"/>
    <col min="15610" max="15852" width="9.140625" style="53"/>
    <col min="15853" max="15853" width="1.7109375" style="53" customWidth="1"/>
    <col min="15854" max="15855" width="4.7109375" style="53" customWidth="1"/>
    <col min="15856" max="15856" width="54.140625" style="53" customWidth="1"/>
    <col min="15857" max="15857" width="52" style="53" customWidth="1"/>
    <col min="15858" max="15858" width="5.28515625" style="53" customWidth="1"/>
    <col min="15859" max="15859" width="5.85546875" style="53" bestFit="1" customWidth="1"/>
    <col min="15860" max="15860" width="16.42578125" style="53" customWidth="1"/>
    <col min="15861" max="15861" width="4.5703125" style="53" customWidth="1"/>
    <col min="15862" max="15862" width="14.140625" style="53" customWidth="1"/>
    <col min="15863" max="15863" width="27.140625" style="53" customWidth="1"/>
    <col min="15864" max="15864" width="16.28515625" style="53" customWidth="1"/>
    <col min="15865" max="15865" width="13.85546875" style="53" customWidth="1"/>
    <col min="15866" max="16108" width="9.140625" style="53"/>
    <col min="16109" max="16109" width="1.7109375" style="53" customWidth="1"/>
    <col min="16110" max="16111" width="4.7109375" style="53" customWidth="1"/>
    <col min="16112" max="16112" width="54.140625" style="53" customWidth="1"/>
    <col min="16113" max="16113" width="52" style="53" customWidth="1"/>
    <col min="16114" max="16114" width="5.28515625" style="53" customWidth="1"/>
    <col min="16115" max="16115" width="5.85546875" style="53" bestFit="1" customWidth="1"/>
    <col min="16116" max="16116" width="16.42578125" style="53" customWidth="1"/>
    <col min="16117" max="16117" width="4.5703125" style="53" customWidth="1"/>
    <col min="16118" max="16118" width="14.140625" style="53" customWidth="1"/>
    <col min="16119" max="16119" width="27.140625" style="53" customWidth="1"/>
    <col min="16120" max="16120" width="16.28515625" style="53" customWidth="1"/>
    <col min="16121" max="16121" width="13.85546875" style="53" customWidth="1"/>
    <col min="16122" max="16384" width="9.140625" style="53"/>
  </cols>
  <sheetData>
    <row r="2" spans="2:21" s="5" customFormat="1" ht="15.75" hidden="1" x14ac:dyDescent="0.25">
      <c r="B2" s="985"/>
      <c r="C2" s="1645" t="s">
        <v>431</v>
      </c>
      <c r="D2" s="1645"/>
      <c r="E2" s="1645"/>
      <c r="F2" s="1645"/>
      <c r="G2" s="1645"/>
      <c r="H2" s="1645"/>
      <c r="I2" s="1645"/>
      <c r="J2" s="1645"/>
      <c r="K2" s="1645"/>
      <c r="L2" s="1645"/>
      <c r="M2" s="1645"/>
      <c r="N2" s="977"/>
      <c r="O2" s="977"/>
      <c r="P2" s="451"/>
      <c r="Q2" s="451"/>
      <c r="R2" s="3"/>
    </row>
    <row r="3" spans="2:21" s="5" customFormat="1" ht="13.5" customHeight="1" x14ac:dyDescent="0.25">
      <c r="B3" s="985"/>
      <c r="C3" s="1646" t="s">
        <v>0</v>
      </c>
      <c r="D3" s="1646"/>
      <c r="E3" s="1646"/>
      <c r="F3" s="1646"/>
      <c r="G3" s="1646"/>
      <c r="H3" s="1646"/>
      <c r="I3" s="1646"/>
      <c r="J3" s="1646"/>
      <c r="K3" s="1646"/>
      <c r="L3" s="1646"/>
      <c r="M3" s="1646"/>
      <c r="N3" s="1646"/>
      <c r="O3" s="1646"/>
      <c r="P3" s="1646"/>
      <c r="Q3" s="978"/>
      <c r="R3" s="481"/>
    </row>
    <row r="4" spans="2:21" s="4" customFormat="1" ht="14.25" customHeight="1" x14ac:dyDescent="0.25">
      <c r="B4" s="985"/>
      <c r="C4" s="1646" t="s">
        <v>1</v>
      </c>
      <c r="D4" s="1646"/>
      <c r="E4" s="1646"/>
      <c r="F4" s="1646"/>
      <c r="G4" s="1646"/>
      <c r="H4" s="1646"/>
      <c r="I4" s="1646"/>
      <c r="J4" s="1646"/>
      <c r="K4" s="1646"/>
      <c r="L4" s="1646"/>
      <c r="M4" s="1646"/>
      <c r="N4" s="1646"/>
      <c r="O4" s="1646"/>
      <c r="P4" s="1646"/>
      <c r="Q4" s="978"/>
      <c r="R4" s="481"/>
    </row>
    <row r="5" spans="2:21" s="4" customFormat="1" ht="15.75" x14ac:dyDescent="0.25">
      <c r="B5" s="985"/>
      <c r="C5" s="452"/>
      <c r="D5" s="453"/>
      <c r="E5" s="453"/>
      <c r="F5" s="453"/>
      <c r="G5" s="454"/>
      <c r="H5" s="455"/>
      <c r="I5" s="456"/>
      <c r="J5" s="457"/>
      <c r="K5" s="457"/>
      <c r="L5" s="457"/>
      <c r="M5" s="457"/>
      <c r="N5" s="457"/>
      <c r="O5" s="457"/>
      <c r="P5" s="458"/>
      <c r="Q5" s="456"/>
      <c r="R5" s="986"/>
    </row>
    <row r="6" spans="2:21" s="4" customFormat="1" ht="18" customHeight="1" x14ac:dyDescent="0.25">
      <c r="B6" s="985"/>
      <c r="C6" s="1647" t="s">
        <v>2</v>
      </c>
      <c r="D6" s="1647"/>
      <c r="E6" s="1505" t="s">
        <v>3</v>
      </c>
      <c r="F6" s="1505"/>
      <c r="G6" s="1505"/>
      <c r="H6" s="459"/>
      <c r="I6" s="456"/>
      <c r="J6" s="457"/>
      <c r="K6" s="457"/>
      <c r="L6" s="457"/>
      <c r="M6" s="457"/>
      <c r="N6" s="457"/>
      <c r="O6" s="457"/>
      <c r="P6" s="458"/>
      <c r="Q6" s="456"/>
      <c r="R6" s="986"/>
      <c r="S6" s="1085">
        <f>S11-S8</f>
        <v>0</v>
      </c>
    </row>
    <row r="7" spans="2:21" s="4" customFormat="1" ht="8.25" customHeight="1" thickBot="1" x14ac:dyDescent="0.3">
      <c r="B7" s="985"/>
      <c r="C7" s="6"/>
      <c r="D7" s="8"/>
      <c r="E7" s="8"/>
      <c r="F7" s="8"/>
      <c r="G7" s="9"/>
      <c r="H7" s="10"/>
      <c r="I7" s="11"/>
      <c r="J7" s="12"/>
      <c r="K7" s="12"/>
      <c r="L7" s="12"/>
      <c r="M7" s="12"/>
      <c r="N7" s="12"/>
      <c r="O7" s="12"/>
      <c r="P7" s="7"/>
      <c r="Q7" s="11"/>
      <c r="R7" s="986"/>
    </row>
    <row r="8" spans="2:21" s="15" customFormat="1" ht="32.25" customHeight="1" thickTop="1" x14ac:dyDescent="0.25">
      <c r="B8" s="13"/>
      <c r="C8" s="1648" t="s">
        <v>433</v>
      </c>
      <c r="D8" s="1649"/>
      <c r="E8" s="1650"/>
      <c r="F8" s="1654" t="s">
        <v>418</v>
      </c>
      <c r="G8" s="1650"/>
      <c r="H8" s="1656" t="s">
        <v>417</v>
      </c>
      <c r="I8" s="1658" t="s">
        <v>419</v>
      </c>
      <c r="J8" s="1662" t="s">
        <v>502</v>
      </c>
      <c r="K8" s="1662" t="s">
        <v>523</v>
      </c>
      <c r="L8" s="1662" t="s">
        <v>488</v>
      </c>
      <c r="M8" s="1666" t="s">
        <v>524</v>
      </c>
      <c r="N8" s="1069" t="s">
        <v>509</v>
      </c>
      <c r="O8" s="987"/>
      <c r="P8" s="14"/>
      <c r="Q8" s="1643" t="s">
        <v>469</v>
      </c>
      <c r="R8" s="441" t="s">
        <v>426</v>
      </c>
      <c r="S8" s="16">
        <v>15848487571</v>
      </c>
      <c r="T8" s="1086">
        <f>S10+S11</f>
        <v>323813925842</v>
      </c>
    </row>
    <row r="9" spans="2:21" s="15" customFormat="1" x14ac:dyDescent="0.25">
      <c r="B9" s="13"/>
      <c r="C9" s="1651"/>
      <c r="D9" s="1652"/>
      <c r="E9" s="1653"/>
      <c r="F9" s="1655"/>
      <c r="G9" s="1653"/>
      <c r="H9" s="1657"/>
      <c r="I9" s="1659"/>
      <c r="J9" s="1663"/>
      <c r="K9" s="1663"/>
      <c r="L9" s="1663"/>
      <c r="M9" s="1667"/>
      <c r="N9" s="1070"/>
      <c r="O9" s="987"/>
      <c r="P9" s="14"/>
      <c r="Q9" s="1644"/>
      <c r="R9" s="14"/>
      <c r="U9" s="17"/>
    </row>
    <row r="10" spans="2:21" s="15" customFormat="1" ht="19.5" customHeight="1" x14ac:dyDescent="0.25">
      <c r="B10" s="13"/>
      <c r="C10" s="1632">
        <v>1</v>
      </c>
      <c r="D10" s="1633"/>
      <c r="E10" s="1634"/>
      <c r="F10" s="1635">
        <v>2</v>
      </c>
      <c r="G10" s="1636"/>
      <c r="H10" s="18">
        <v>3</v>
      </c>
      <c r="I10" s="18">
        <v>4</v>
      </c>
      <c r="J10" s="607">
        <v>5</v>
      </c>
      <c r="K10" s="607">
        <v>5</v>
      </c>
      <c r="L10" s="858">
        <v>5</v>
      </c>
      <c r="M10" s="859">
        <v>5</v>
      </c>
      <c r="N10" s="988"/>
      <c r="O10" s="988"/>
      <c r="P10" s="20"/>
      <c r="Q10" s="507"/>
      <c r="R10" s="20"/>
      <c r="S10" s="21">
        <v>307965438271</v>
      </c>
      <c r="T10" s="1068">
        <f>S10-K11</f>
        <v>-37348487571</v>
      </c>
      <c r="U10" s="17"/>
    </row>
    <row r="11" spans="2:21" s="29" customFormat="1" ht="29.25" customHeight="1" x14ac:dyDescent="0.25">
      <c r="B11" s="13"/>
      <c r="C11" s="22"/>
      <c r="D11" s="1635" t="s">
        <v>4</v>
      </c>
      <c r="E11" s="1637"/>
      <c r="F11" s="1637"/>
      <c r="G11" s="1636"/>
      <c r="H11" s="23"/>
      <c r="I11" s="24"/>
      <c r="J11" s="608">
        <f>J12+J52</f>
        <v>323813925842</v>
      </c>
      <c r="K11" s="608">
        <f>K12+K52</f>
        <v>345313925842</v>
      </c>
      <c r="L11" s="608">
        <f>L12+L52</f>
        <v>323813925842</v>
      </c>
      <c r="M11" s="25">
        <f>M12+M52</f>
        <v>345313925842</v>
      </c>
      <c r="N11" s="989"/>
      <c r="O11" s="989"/>
      <c r="P11" s="26"/>
      <c r="Q11" s="508"/>
      <c r="R11" s="485">
        <f>SUM(R12:R262)</f>
        <v>19915000000</v>
      </c>
      <c r="S11" s="27">
        <f>J11-S10</f>
        <v>15848487571</v>
      </c>
      <c r="T11" s="28">
        <f>K11-T8</f>
        <v>21500000000</v>
      </c>
    </row>
    <row r="12" spans="2:21" s="15" customFormat="1" ht="30" customHeight="1" x14ac:dyDescent="0.25">
      <c r="B12" s="13"/>
      <c r="C12" s="30"/>
      <c r="D12" s="1638"/>
      <c r="E12" s="1638"/>
      <c r="F12" s="1638"/>
      <c r="G12" s="1638"/>
      <c r="H12" s="1638"/>
      <c r="I12" s="1639"/>
      <c r="J12" s="609">
        <f>J13+J24+J40+J43+J46</f>
        <v>11438515300</v>
      </c>
      <c r="K12" s="609">
        <f>K13+K24+K40+K43+K46</f>
        <v>11388515300</v>
      </c>
      <c r="L12" s="609">
        <f>L13+L24+L40+L43+L46</f>
        <v>11438515300</v>
      </c>
      <c r="M12" s="31">
        <f>M13+M24+M40+M43+M46</f>
        <v>11388515300</v>
      </c>
      <c r="N12" s="990"/>
      <c r="O12" s="990"/>
      <c r="P12" s="32"/>
      <c r="Q12" s="509"/>
      <c r="R12" s="486"/>
      <c r="S12" s="33"/>
      <c r="T12" s="17"/>
    </row>
    <row r="13" spans="2:21" s="15" customFormat="1" ht="21" customHeight="1" x14ac:dyDescent="0.25">
      <c r="B13" s="13"/>
      <c r="C13" s="34" t="s">
        <v>432</v>
      </c>
      <c r="D13" s="1640" t="s">
        <v>6</v>
      </c>
      <c r="E13" s="1641"/>
      <c r="F13" s="1641"/>
      <c r="G13" s="1642"/>
      <c r="H13" s="35" t="s">
        <v>7</v>
      </c>
      <c r="I13" s="36"/>
      <c r="J13" s="610">
        <f>J20+J15+J16+J17+J18+J21+J22+J14+J19</f>
        <v>5166573300</v>
      </c>
      <c r="K13" s="610">
        <f>K20+K15+K16+K17+K18+K21+K22+K14+K19</f>
        <v>5166573300</v>
      </c>
      <c r="L13" s="610">
        <f>L20+L15+L16+L17+L18+L21+L22+L14+L19</f>
        <v>5166573300</v>
      </c>
      <c r="M13" s="37">
        <f>M20+M15+M16+M17+M18+M21+M22+M14+M19</f>
        <v>5166573300</v>
      </c>
      <c r="N13" s="991"/>
      <c r="O13" s="991"/>
      <c r="P13" s="38"/>
      <c r="Q13" s="510"/>
      <c r="R13" s="487"/>
    </row>
    <row r="14" spans="2:21" s="62" customFormat="1" ht="27.75" customHeight="1" x14ac:dyDescent="0.25">
      <c r="B14" s="59"/>
      <c r="C14" s="39"/>
      <c r="D14" s="140" t="s">
        <v>5</v>
      </c>
      <c r="E14" s="1623" t="s">
        <v>9</v>
      </c>
      <c r="F14" s="1624"/>
      <c r="G14" s="1625"/>
      <c r="H14" s="745" t="s">
        <v>497</v>
      </c>
      <c r="I14" s="746">
        <v>1</v>
      </c>
      <c r="J14" s="611">
        <v>755192500</v>
      </c>
      <c r="K14" s="611">
        <v>755192500</v>
      </c>
      <c r="L14" s="611">
        <f>755192500</f>
        <v>755192500</v>
      </c>
      <c r="M14" s="43">
        <f>755192500</f>
        <v>755192500</v>
      </c>
      <c r="N14" s="44"/>
      <c r="O14" s="44"/>
      <c r="P14" s="44"/>
      <c r="Q14" s="747"/>
      <c r="R14" s="488"/>
    </row>
    <row r="15" spans="2:21" s="62" customFormat="1" ht="26.25" customHeight="1" x14ac:dyDescent="0.25">
      <c r="B15" s="59"/>
      <c r="C15" s="39"/>
      <c r="D15" s="79" t="s">
        <v>10</v>
      </c>
      <c r="E15" s="1623" t="s">
        <v>11</v>
      </c>
      <c r="F15" s="1624"/>
      <c r="G15" s="1625"/>
      <c r="H15" s="837" t="s">
        <v>12</v>
      </c>
      <c r="I15" s="746">
        <v>1</v>
      </c>
      <c r="J15" s="612">
        <v>1921800000</v>
      </c>
      <c r="K15" s="612">
        <v>1921800000</v>
      </c>
      <c r="L15" s="612">
        <v>1921800000</v>
      </c>
      <c r="M15" s="47">
        <v>1921800000</v>
      </c>
      <c r="N15" s="44"/>
      <c r="O15" s="44"/>
      <c r="P15" s="44"/>
      <c r="Q15" s="747"/>
      <c r="R15" s="488"/>
    </row>
    <row r="16" spans="2:21" s="62" customFormat="1" ht="26.25" customHeight="1" x14ac:dyDescent="0.25">
      <c r="B16" s="59"/>
      <c r="C16" s="39"/>
      <c r="D16" s="140" t="s">
        <v>13</v>
      </c>
      <c r="E16" s="1623" t="s">
        <v>14</v>
      </c>
      <c r="F16" s="1624"/>
      <c r="G16" s="1625"/>
      <c r="H16" s="837" t="s">
        <v>15</v>
      </c>
      <c r="I16" s="746">
        <v>1</v>
      </c>
      <c r="J16" s="612">
        <f>1968500000-21419200</f>
        <v>1947080800</v>
      </c>
      <c r="K16" s="612">
        <f>1968500000-21419200</f>
        <v>1947080800</v>
      </c>
      <c r="L16" s="612">
        <f>1968500000-21419200</f>
        <v>1947080800</v>
      </c>
      <c r="M16" s="47">
        <f>1968500000-21419200</f>
        <v>1947080800</v>
      </c>
      <c r="N16" s="44"/>
      <c r="O16" s="44"/>
      <c r="P16" s="44"/>
      <c r="Q16" s="747"/>
      <c r="R16" s="488"/>
    </row>
    <row r="17" spans="2:19" s="62" customFormat="1" ht="20.25" customHeight="1" x14ac:dyDescent="0.25">
      <c r="B17" s="59"/>
      <c r="C17" s="39"/>
      <c r="D17" s="140" t="s">
        <v>16</v>
      </c>
      <c r="E17" s="1623" t="s">
        <v>17</v>
      </c>
      <c r="F17" s="1624"/>
      <c r="G17" s="1625"/>
      <c r="H17" s="837" t="s">
        <v>18</v>
      </c>
      <c r="I17" s="746">
        <v>1</v>
      </c>
      <c r="J17" s="612">
        <v>200000000</v>
      </c>
      <c r="K17" s="612">
        <v>200000000</v>
      </c>
      <c r="L17" s="612">
        <v>200000000</v>
      </c>
      <c r="M17" s="47">
        <v>200000000</v>
      </c>
      <c r="N17" s="44"/>
      <c r="O17" s="44"/>
      <c r="P17" s="44"/>
      <c r="Q17" s="747"/>
      <c r="R17" s="488"/>
    </row>
    <row r="18" spans="2:19" s="62" customFormat="1" ht="20.25" customHeight="1" x14ac:dyDescent="0.25">
      <c r="B18" s="59"/>
      <c r="C18" s="39"/>
      <c r="D18" s="140" t="s">
        <v>19</v>
      </c>
      <c r="E18" s="1623" t="s">
        <v>20</v>
      </c>
      <c r="F18" s="1624"/>
      <c r="G18" s="1625"/>
      <c r="H18" s="837" t="s">
        <v>21</v>
      </c>
      <c r="I18" s="746">
        <v>1</v>
      </c>
      <c r="J18" s="612">
        <f>238307500-65807500</f>
        <v>172500000</v>
      </c>
      <c r="K18" s="612">
        <f>238307500-65807500</f>
        <v>172500000</v>
      </c>
      <c r="L18" s="612">
        <f>238307500-65807500</f>
        <v>172500000</v>
      </c>
      <c r="M18" s="47">
        <f>238307500-65807500</f>
        <v>172500000</v>
      </c>
      <c r="N18" s="44"/>
      <c r="O18" s="44"/>
      <c r="P18" s="44"/>
      <c r="Q18" s="747"/>
      <c r="R18" s="488"/>
    </row>
    <row r="19" spans="2:19" s="62" customFormat="1" ht="28.5" customHeight="1" x14ac:dyDescent="0.25">
      <c r="B19" s="59"/>
      <c r="C19" s="39"/>
      <c r="D19" s="140" t="s">
        <v>27</v>
      </c>
      <c r="E19" s="1629" t="s">
        <v>23</v>
      </c>
      <c r="F19" s="1630"/>
      <c r="G19" s="1631"/>
      <c r="H19" s="843" t="s">
        <v>24</v>
      </c>
      <c r="I19" s="746">
        <v>1</v>
      </c>
      <c r="J19" s="612">
        <v>100000000</v>
      </c>
      <c r="K19" s="612">
        <v>100000000</v>
      </c>
      <c r="L19" s="612">
        <v>100000000</v>
      </c>
      <c r="M19" s="47">
        <v>100000000</v>
      </c>
      <c r="N19" s="44"/>
      <c r="O19" s="44"/>
      <c r="P19" s="44"/>
      <c r="Q19" s="747"/>
      <c r="R19" s="488"/>
    </row>
    <row r="20" spans="2:19" s="62" customFormat="1" ht="44.25" customHeight="1" x14ac:dyDescent="0.25">
      <c r="B20" s="59"/>
      <c r="C20" s="49"/>
      <c r="D20" s="79" t="s">
        <v>30</v>
      </c>
      <c r="E20" s="1623" t="s">
        <v>25</v>
      </c>
      <c r="F20" s="1624"/>
      <c r="G20" s="1625"/>
      <c r="H20" s="80" t="s">
        <v>26</v>
      </c>
      <c r="I20" s="81">
        <v>1</v>
      </c>
      <c r="J20" s="613">
        <v>10000000</v>
      </c>
      <c r="K20" s="613">
        <v>10000000</v>
      </c>
      <c r="L20" s="613">
        <v>10000000</v>
      </c>
      <c r="M20" s="52">
        <v>10000000</v>
      </c>
      <c r="N20" s="44"/>
      <c r="O20" s="44"/>
      <c r="P20" s="44"/>
      <c r="Q20" s="844"/>
      <c r="R20" s="488"/>
    </row>
    <row r="21" spans="2:19" s="62" customFormat="1" ht="27" customHeight="1" x14ac:dyDescent="0.25">
      <c r="B21" s="59"/>
      <c r="C21" s="39"/>
      <c r="D21" s="140" t="s">
        <v>8</v>
      </c>
      <c r="E21" s="1623" t="s">
        <v>28</v>
      </c>
      <c r="F21" s="1624"/>
      <c r="G21" s="1625"/>
      <c r="H21" s="837" t="s">
        <v>29</v>
      </c>
      <c r="I21" s="746">
        <v>1</v>
      </c>
      <c r="J21" s="612">
        <f>40000000-10000000</f>
        <v>30000000</v>
      </c>
      <c r="K21" s="612">
        <f>40000000-10000000</f>
        <v>30000000</v>
      </c>
      <c r="L21" s="612">
        <f>40000000-10000000</f>
        <v>30000000</v>
      </c>
      <c r="M21" s="47">
        <f>40000000-10000000</f>
        <v>30000000</v>
      </c>
      <c r="N21" s="44"/>
      <c r="O21" s="44"/>
      <c r="P21" s="44"/>
      <c r="Q21" s="747"/>
      <c r="R21" s="488"/>
    </row>
    <row r="22" spans="2:19" s="62" customFormat="1" ht="27" customHeight="1" x14ac:dyDescent="0.25">
      <c r="B22" s="59"/>
      <c r="C22" s="39"/>
      <c r="D22" s="140" t="s">
        <v>22</v>
      </c>
      <c r="E22" s="1623" t="s">
        <v>31</v>
      </c>
      <c r="F22" s="1624"/>
      <c r="G22" s="1625"/>
      <c r="H22" s="837" t="s">
        <v>32</v>
      </c>
      <c r="I22" s="746">
        <v>1</v>
      </c>
      <c r="J22" s="612">
        <f>30000000</f>
        <v>30000000</v>
      </c>
      <c r="K22" s="612">
        <f>30000000</f>
        <v>30000000</v>
      </c>
      <c r="L22" s="612">
        <f>30000000</f>
        <v>30000000</v>
      </c>
      <c r="M22" s="47">
        <f>30000000</f>
        <v>30000000</v>
      </c>
      <c r="N22" s="44"/>
      <c r="O22" s="44"/>
      <c r="P22" s="44"/>
      <c r="Q22" s="747"/>
      <c r="R22" s="488"/>
    </row>
    <row r="23" spans="2:19" s="62" customFormat="1" ht="3.75" customHeight="1" x14ac:dyDescent="0.25">
      <c r="B23" s="59"/>
      <c r="C23" s="766"/>
      <c r="D23" s="759"/>
      <c r="E23" s="845"/>
      <c r="F23" s="1611"/>
      <c r="G23" s="1612"/>
      <c r="H23" s="846"/>
      <c r="I23" s="847"/>
      <c r="J23" s="611"/>
      <c r="K23" s="611"/>
      <c r="L23" s="611"/>
      <c r="M23" s="43"/>
      <c r="N23" s="44"/>
      <c r="O23" s="44"/>
      <c r="P23" s="44"/>
      <c r="Q23" s="848"/>
      <c r="R23" s="488"/>
    </row>
    <row r="24" spans="2:19" s="62" customFormat="1" ht="26.25" customHeight="1" x14ac:dyDescent="0.25">
      <c r="B24" s="59"/>
      <c r="C24" s="34" t="s">
        <v>434</v>
      </c>
      <c r="D24" s="1640" t="s">
        <v>35</v>
      </c>
      <c r="E24" s="1641"/>
      <c r="F24" s="1641"/>
      <c r="G24" s="1642"/>
      <c r="H24" s="35" t="s">
        <v>36</v>
      </c>
      <c r="I24" s="36"/>
      <c r="J24" s="610">
        <f>J25+J26+J27+J28+J29+J33+J36+J37+J38</f>
        <v>4220250000</v>
      </c>
      <c r="K24" s="610">
        <f>K25+K26+K27+K28+K29+K33+K36+K37+K38</f>
        <v>4220250000</v>
      </c>
      <c r="L24" s="610">
        <f>L25+L26+L27+L28+L29+L33+L36+L37+L38</f>
        <v>4220250000</v>
      </c>
      <c r="M24" s="37">
        <f>M25+M26+M27+M28+M29+M33+M36+M37+M38</f>
        <v>4220250000</v>
      </c>
      <c r="N24" s="38"/>
      <c r="O24" s="38"/>
      <c r="P24" s="38"/>
      <c r="Q24" s="724"/>
      <c r="R24" s="487"/>
    </row>
    <row r="25" spans="2:19" s="62" customFormat="1" ht="21" customHeight="1" x14ac:dyDescent="0.25">
      <c r="B25" s="59"/>
      <c r="C25" s="39"/>
      <c r="D25" s="140" t="s">
        <v>5</v>
      </c>
      <c r="E25" s="1529" t="s">
        <v>37</v>
      </c>
      <c r="F25" s="1622"/>
      <c r="G25" s="1530"/>
      <c r="H25" s="980" t="s">
        <v>38</v>
      </c>
      <c r="I25" s="746">
        <v>1</v>
      </c>
      <c r="J25" s="611">
        <v>350000000</v>
      </c>
      <c r="K25" s="611">
        <v>350000000</v>
      </c>
      <c r="L25" s="611">
        <v>350000000</v>
      </c>
      <c r="M25" s="43">
        <v>350000000</v>
      </c>
      <c r="N25" s="44"/>
      <c r="O25" s="44"/>
      <c r="P25" s="44"/>
      <c r="Q25" s="747"/>
      <c r="R25" s="488"/>
    </row>
    <row r="26" spans="2:19" s="62" customFormat="1" ht="21" customHeight="1" x14ac:dyDescent="0.25">
      <c r="B26" s="59"/>
      <c r="C26" s="39"/>
      <c r="D26" s="140" t="s">
        <v>10</v>
      </c>
      <c r="E26" s="1529" t="s">
        <v>485</v>
      </c>
      <c r="F26" s="1622"/>
      <c r="G26" s="1530"/>
      <c r="H26" s="980" t="s">
        <v>39</v>
      </c>
      <c r="I26" s="746">
        <v>1</v>
      </c>
      <c r="J26" s="611">
        <v>452890000</v>
      </c>
      <c r="K26" s="611">
        <v>452890000</v>
      </c>
      <c r="L26" s="611">
        <f>452890000</f>
        <v>452890000</v>
      </c>
      <c r="M26" s="43">
        <f>452890000</f>
        <v>452890000</v>
      </c>
      <c r="N26" s="44"/>
      <c r="O26" s="44"/>
      <c r="P26" s="44"/>
      <c r="Q26" s="747"/>
      <c r="R26" s="488"/>
    </row>
    <row r="27" spans="2:19" s="62" customFormat="1" ht="21" customHeight="1" x14ac:dyDescent="0.25">
      <c r="B27" s="59"/>
      <c r="C27" s="39"/>
      <c r="D27" s="140" t="s">
        <v>13</v>
      </c>
      <c r="E27" s="1529" t="s">
        <v>40</v>
      </c>
      <c r="F27" s="1622"/>
      <c r="G27" s="1530"/>
      <c r="H27" s="980" t="s">
        <v>41</v>
      </c>
      <c r="I27" s="746">
        <v>1</v>
      </c>
      <c r="J27" s="612">
        <f>600000000</f>
        <v>600000000</v>
      </c>
      <c r="K27" s="612">
        <f>600000000</f>
        <v>600000000</v>
      </c>
      <c r="L27" s="612">
        <f>600000000</f>
        <v>600000000</v>
      </c>
      <c r="M27" s="47">
        <f>600000000</f>
        <v>600000000</v>
      </c>
      <c r="N27" s="44"/>
      <c r="O27" s="44"/>
      <c r="P27" s="44"/>
      <c r="Q27" s="747"/>
      <c r="R27" s="488"/>
    </row>
    <row r="28" spans="2:19" s="62" customFormat="1" ht="31.5" customHeight="1" x14ac:dyDescent="0.25">
      <c r="B28" s="59"/>
      <c r="C28" s="766"/>
      <c r="D28" s="759" t="s">
        <v>16</v>
      </c>
      <c r="E28" s="1529" t="s">
        <v>42</v>
      </c>
      <c r="F28" s="1622"/>
      <c r="G28" s="1530"/>
      <c r="H28" s="980" t="s">
        <v>43</v>
      </c>
      <c r="I28" s="746">
        <v>1</v>
      </c>
      <c r="J28" s="611">
        <v>243360000</v>
      </c>
      <c r="K28" s="611">
        <v>243360000</v>
      </c>
      <c r="L28" s="611">
        <v>243360000</v>
      </c>
      <c r="M28" s="43">
        <v>243360000</v>
      </c>
      <c r="N28" s="44"/>
      <c r="O28" s="44"/>
      <c r="P28" s="44"/>
      <c r="Q28" s="747"/>
      <c r="R28" s="488"/>
    </row>
    <row r="29" spans="2:19" s="62" customFormat="1" ht="31.5" customHeight="1" x14ac:dyDescent="0.25">
      <c r="B29" s="59"/>
      <c r="C29" s="39"/>
      <c r="D29" s="140" t="s">
        <v>19</v>
      </c>
      <c r="E29" s="1618" t="s">
        <v>44</v>
      </c>
      <c r="F29" s="1619"/>
      <c r="G29" s="1620"/>
      <c r="H29" s="748" t="s">
        <v>45</v>
      </c>
      <c r="I29" s="746">
        <v>1</v>
      </c>
      <c r="J29" s="660">
        <f>SUM(J30:J32)</f>
        <v>210000000</v>
      </c>
      <c r="K29" s="660">
        <f>SUM(K30:K32)</f>
        <v>210000000</v>
      </c>
      <c r="L29" s="660">
        <f>SUM(L30:L32)</f>
        <v>210000000</v>
      </c>
      <c r="M29" s="60">
        <f>SUM(M30:M32)</f>
        <v>210000000</v>
      </c>
      <c r="N29" s="61"/>
      <c r="O29" s="61"/>
      <c r="P29" s="61"/>
      <c r="Q29" s="747"/>
      <c r="R29" s="489"/>
      <c r="S29" s="63"/>
    </row>
    <row r="30" spans="2:19" s="62" customFormat="1" ht="26.25" customHeight="1" x14ac:dyDescent="0.25">
      <c r="B30" s="59"/>
      <c r="C30" s="39"/>
      <c r="D30" s="140"/>
      <c r="E30" s="838" t="s">
        <v>46</v>
      </c>
      <c r="F30" s="1616" t="s">
        <v>47</v>
      </c>
      <c r="G30" s="1617"/>
      <c r="H30" s="979" t="s">
        <v>48</v>
      </c>
      <c r="I30" s="137"/>
      <c r="J30" s="616">
        <v>200000000</v>
      </c>
      <c r="K30" s="616">
        <v>200000000</v>
      </c>
      <c r="L30" s="616">
        <v>200000000</v>
      </c>
      <c r="M30" s="66">
        <v>200000000</v>
      </c>
      <c r="N30" s="67"/>
      <c r="O30" s="67"/>
      <c r="P30" s="67"/>
      <c r="Q30" s="519"/>
      <c r="R30" s="490"/>
      <c r="S30" s="63"/>
    </row>
    <row r="31" spans="2:19" s="62" customFormat="1" ht="25.5" customHeight="1" x14ac:dyDescent="0.25">
      <c r="B31" s="59"/>
      <c r="C31" s="39"/>
      <c r="D31" s="140"/>
      <c r="E31" s="838" t="s">
        <v>46</v>
      </c>
      <c r="F31" s="1616" t="s">
        <v>49</v>
      </c>
      <c r="G31" s="1617"/>
      <c r="H31" s="979" t="s">
        <v>50</v>
      </c>
      <c r="I31" s="137"/>
      <c r="J31" s="616">
        <v>10000000</v>
      </c>
      <c r="K31" s="616">
        <v>10000000</v>
      </c>
      <c r="L31" s="616">
        <v>10000000</v>
      </c>
      <c r="M31" s="66">
        <v>10000000</v>
      </c>
      <c r="N31" s="67"/>
      <c r="O31" s="67"/>
      <c r="P31" s="67"/>
      <c r="Q31" s="519"/>
      <c r="R31" s="490"/>
      <c r="S31" s="63"/>
    </row>
    <row r="32" spans="2:19" s="62" customFormat="1" ht="14.25" hidden="1" customHeight="1" x14ac:dyDescent="0.25">
      <c r="B32" s="59"/>
      <c r="C32" s="39"/>
      <c r="D32" s="140"/>
      <c r="E32" s="838" t="s">
        <v>46</v>
      </c>
      <c r="F32" s="1616" t="s">
        <v>482</v>
      </c>
      <c r="G32" s="1617"/>
      <c r="H32" s="979" t="s">
        <v>483</v>
      </c>
      <c r="I32" s="137"/>
      <c r="J32" s="616"/>
      <c r="K32" s="616"/>
      <c r="L32" s="616"/>
      <c r="M32" s="66"/>
      <c r="N32" s="67"/>
      <c r="O32" s="67"/>
      <c r="P32" s="67"/>
      <c r="Q32" s="519"/>
      <c r="R32" s="490"/>
      <c r="S32" s="63"/>
    </row>
    <row r="33" spans="2:19" s="62" customFormat="1" ht="26.25" customHeight="1" x14ac:dyDescent="0.25">
      <c r="B33" s="59"/>
      <c r="C33" s="39"/>
      <c r="D33" s="140" t="s">
        <v>27</v>
      </c>
      <c r="E33" s="1618" t="s">
        <v>51</v>
      </c>
      <c r="F33" s="1619"/>
      <c r="G33" s="1620"/>
      <c r="H33" s="840" t="s">
        <v>53</v>
      </c>
      <c r="I33" s="746">
        <v>1</v>
      </c>
      <c r="J33" s="617">
        <f>SUM(J34:J35)</f>
        <v>950000000</v>
      </c>
      <c r="K33" s="617">
        <f>SUM(K34:K35)</f>
        <v>950000000</v>
      </c>
      <c r="L33" s="617">
        <f>SUM(L34:L35)</f>
        <v>950000000</v>
      </c>
      <c r="M33" s="71">
        <f>SUM(M34:M35)</f>
        <v>950000000</v>
      </c>
      <c r="N33" s="61"/>
      <c r="O33" s="61"/>
      <c r="P33" s="61"/>
      <c r="Q33" s="747"/>
      <c r="R33" s="489"/>
      <c r="S33" s="63"/>
    </row>
    <row r="34" spans="2:19" s="62" customFormat="1" ht="27.75" customHeight="1" x14ac:dyDescent="0.25">
      <c r="B34" s="59"/>
      <c r="C34" s="39"/>
      <c r="D34" s="140"/>
      <c r="E34" s="838" t="s">
        <v>46</v>
      </c>
      <c r="F34" s="1616" t="s">
        <v>52</v>
      </c>
      <c r="G34" s="1617"/>
      <c r="H34" s="979" t="s">
        <v>53</v>
      </c>
      <c r="I34" s="841"/>
      <c r="J34" s="618">
        <v>915000000</v>
      </c>
      <c r="K34" s="618">
        <v>915000000</v>
      </c>
      <c r="L34" s="618">
        <v>915000000</v>
      </c>
      <c r="M34" s="73">
        <v>915000000</v>
      </c>
      <c r="N34" s="67"/>
      <c r="O34" s="67"/>
      <c r="P34" s="67"/>
      <c r="Q34" s="842"/>
      <c r="R34" s="490"/>
      <c r="S34" s="63"/>
    </row>
    <row r="35" spans="2:19" s="62" customFormat="1" ht="27" customHeight="1" x14ac:dyDescent="0.25">
      <c r="B35" s="59"/>
      <c r="C35" s="39"/>
      <c r="D35" s="140"/>
      <c r="E35" s="838" t="s">
        <v>46</v>
      </c>
      <c r="F35" s="1616" t="s">
        <v>54</v>
      </c>
      <c r="G35" s="1617"/>
      <c r="H35" s="979" t="s">
        <v>55</v>
      </c>
      <c r="I35" s="137"/>
      <c r="J35" s="618">
        <v>35000000</v>
      </c>
      <c r="K35" s="618">
        <v>35000000</v>
      </c>
      <c r="L35" s="618">
        <v>35000000</v>
      </c>
      <c r="M35" s="73">
        <v>35000000</v>
      </c>
      <c r="N35" s="67"/>
      <c r="O35" s="67"/>
      <c r="P35" s="67"/>
      <c r="Q35" s="519"/>
      <c r="R35" s="490"/>
      <c r="S35" s="63"/>
    </row>
    <row r="36" spans="2:19" s="62" customFormat="1" ht="26.25" customHeight="1" x14ac:dyDescent="0.25">
      <c r="B36" s="59"/>
      <c r="C36" s="39"/>
      <c r="D36" s="140" t="s">
        <v>30</v>
      </c>
      <c r="E36" s="1621" t="s">
        <v>56</v>
      </c>
      <c r="F36" s="1621"/>
      <c r="G36" s="1621"/>
      <c r="H36" s="74" t="s">
        <v>57</v>
      </c>
      <c r="I36" s="746">
        <v>1</v>
      </c>
      <c r="J36" s="612">
        <v>150000000</v>
      </c>
      <c r="K36" s="612">
        <v>150000000</v>
      </c>
      <c r="L36" s="612">
        <v>150000000</v>
      </c>
      <c r="M36" s="47">
        <v>150000000</v>
      </c>
      <c r="N36" s="44"/>
      <c r="O36" s="44"/>
      <c r="P36" s="44"/>
      <c r="Q36" s="747"/>
      <c r="R36" s="488"/>
    </row>
    <row r="37" spans="2:19" s="62" customFormat="1" ht="21" customHeight="1" x14ac:dyDescent="0.25">
      <c r="B37" s="59"/>
      <c r="C37" s="39"/>
      <c r="D37" s="140" t="s">
        <v>8</v>
      </c>
      <c r="E37" s="1621" t="s">
        <v>58</v>
      </c>
      <c r="F37" s="1621"/>
      <c r="G37" s="1621"/>
      <c r="H37" s="980" t="s">
        <v>34</v>
      </c>
      <c r="I37" s="746">
        <v>1</v>
      </c>
      <c r="J37" s="612">
        <v>164000000</v>
      </c>
      <c r="K37" s="612">
        <v>164000000</v>
      </c>
      <c r="L37" s="612">
        <v>164000000</v>
      </c>
      <c r="M37" s="47">
        <v>164000000</v>
      </c>
      <c r="N37" s="44"/>
      <c r="O37" s="44"/>
      <c r="P37" s="44"/>
      <c r="Q37" s="747"/>
      <c r="R37" s="488"/>
    </row>
    <row r="38" spans="2:19" s="229" customFormat="1" ht="26.25" customHeight="1" x14ac:dyDescent="0.25">
      <c r="B38" s="59"/>
      <c r="C38" s="39"/>
      <c r="D38" s="140" t="s">
        <v>22</v>
      </c>
      <c r="E38" s="1608" t="s">
        <v>33</v>
      </c>
      <c r="F38" s="1609"/>
      <c r="G38" s="1610"/>
      <c r="H38" s="811" t="s">
        <v>498</v>
      </c>
      <c r="I38" s="81">
        <v>1</v>
      </c>
      <c r="J38" s="613">
        <f>200000000+900000000</f>
        <v>1100000000</v>
      </c>
      <c r="K38" s="613">
        <f>200000000+900000000</f>
        <v>1100000000</v>
      </c>
      <c r="L38" s="613">
        <f>200000000+900000000</f>
        <v>1100000000</v>
      </c>
      <c r="M38" s="52">
        <f>200000000+900000000</f>
        <v>1100000000</v>
      </c>
      <c r="N38" s="44"/>
      <c r="O38" s="44"/>
      <c r="P38" s="44"/>
      <c r="Q38" s="549"/>
      <c r="R38" s="488"/>
    </row>
    <row r="39" spans="2:19" s="62" customFormat="1" ht="3.75" customHeight="1" x14ac:dyDescent="0.25">
      <c r="B39" s="59"/>
      <c r="C39" s="766"/>
      <c r="D39" s="759"/>
      <c r="E39" s="851"/>
      <c r="F39" s="1611"/>
      <c r="G39" s="1612"/>
      <c r="H39" s="846"/>
      <c r="I39" s="847"/>
      <c r="J39" s="611"/>
      <c r="K39" s="611"/>
      <c r="L39" s="611"/>
      <c r="M39" s="43"/>
      <c r="N39" s="44"/>
      <c r="O39" s="44"/>
      <c r="P39" s="44"/>
      <c r="Q39" s="852"/>
      <c r="R39" s="488"/>
    </row>
    <row r="40" spans="2:19" s="15" customFormat="1" ht="23.25" customHeight="1" x14ac:dyDescent="0.25">
      <c r="B40" s="13"/>
      <c r="C40" s="34" t="s">
        <v>435</v>
      </c>
      <c r="D40" s="1599" t="s">
        <v>59</v>
      </c>
      <c r="E40" s="1600"/>
      <c r="F40" s="1600"/>
      <c r="G40" s="1601"/>
      <c r="H40" s="35" t="s">
        <v>60</v>
      </c>
      <c r="I40" s="36"/>
      <c r="J40" s="610">
        <f>SUM(J41)</f>
        <v>329692000</v>
      </c>
      <c r="K40" s="610">
        <f>SUM(K41)</f>
        <v>329692000</v>
      </c>
      <c r="L40" s="610">
        <f>SUM(L41)</f>
        <v>329692000</v>
      </c>
      <c r="M40" s="37">
        <f>SUM(M41)</f>
        <v>329692000</v>
      </c>
      <c r="N40" s="991"/>
      <c r="O40" s="991"/>
      <c r="P40" s="38"/>
      <c r="Q40" s="547"/>
      <c r="R40" s="487"/>
    </row>
    <row r="41" spans="2:19" s="29" customFormat="1" ht="19.5" customHeight="1" x14ac:dyDescent="0.25">
      <c r="B41" s="13"/>
      <c r="C41" s="76"/>
      <c r="D41" s="77" t="s">
        <v>5</v>
      </c>
      <c r="E41" s="1602" t="s">
        <v>61</v>
      </c>
      <c r="F41" s="1603"/>
      <c r="G41" s="1604"/>
      <c r="H41" s="50" t="s">
        <v>62</v>
      </c>
      <c r="I41" s="51">
        <v>1</v>
      </c>
      <c r="J41" s="613">
        <f>347700000-18008000</f>
        <v>329692000</v>
      </c>
      <c r="K41" s="613">
        <f>347700000-18008000</f>
        <v>329692000</v>
      </c>
      <c r="L41" s="613">
        <f>347700000-18008000</f>
        <v>329692000</v>
      </c>
      <c r="M41" s="52">
        <f>347700000-18008000</f>
        <v>329692000</v>
      </c>
      <c r="N41" s="44"/>
      <c r="O41" s="44"/>
      <c r="P41" s="44"/>
      <c r="Q41" s="545"/>
      <c r="R41" s="488"/>
    </row>
    <row r="42" spans="2:19" s="29" customFormat="1" ht="3.75" customHeight="1" x14ac:dyDescent="0.25">
      <c r="B42" s="13"/>
      <c r="C42" s="91"/>
      <c r="D42" s="92"/>
      <c r="E42" s="1613"/>
      <c r="F42" s="1614"/>
      <c r="G42" s="1615"/>
      <c r="H42" s="93"/>
      <c r="I42" s="470"/>
      <c r="J42" s="619"/>
      <c r="K42" s="619"/>
      <c r="L42" s="619"/>
      <c r="M42" s="94"/>
      <c r="N42" s="992"/>
      <c r="O42" s="992"/>
      <c r="P42" s="44"/>
      <c r="Q42" s="548"/>
      <c r="R42" s="488"/>
    </row>
    <row r="43" spans="2:19" s="15" customFormat="1" ht="22.5" customHeight="1" x14ac:dyDescent="0.25">
      <c r="B43" s="13"/>
      <c r="C43" s="34" t="s">
        <v>436</v>
      </c>
      <c r="D43" s="1599" t="s">
        <v>63</v>
      </c>
      <c r="E43" s="1600"/>
      <c r="F43" s="1600"/>
      <c r="G43" s="1601"/>
      <c r="H43" s="35" t="s">
        <v>64</v>
      </c>
      <c r="I43" s="36"/>
      <c r="J43" s="610">
        <f>J44</f>
        <v>250000000</v>
      </c>
      <c r="K43" s="610">
        <f>K44</f>
        <v>250000000</v>
      </c>
      <c r="L43" s="610">
        <f>L44</f>
        <v>250000000</v>
      </c>
      <c r="M43" s="37">
        <f>M44</f>
        <v>250000000</v>
      </c>
      <c r="N43" s="991"/>
      <c r="O43" s="991"/>
      <c r="P43" s="38"/>
      <c r="Q43" s="547"/>
      <c r="R43" s="487"/>
    </row>
    <row r="44" spans="2:19" s="82" customFormat="1" ht="34.5" customHeight="1" x14ac:dyDescent="0.25">
      <c r="B44" s="59"/>
      <c r="C44" s="78"/>
      <c r="D44" s="79" t="s">
        <v>5</v>
      </c>
      <c r="E44" s="1593" t="s">
        <v>65</v>
      </c>
      <c r="F44" s="1594"/>
      <c r="G44" s="1595"/>
      <c r="H44" s="80" t="s">
        <v>66</v>
      </c>
      <c r="I44" s="81">
        <v>1</v>
      </c>
      <c r="J44" s="613">
        <f>300000000-50000000</f>
        <v>250000000</v>
      </c>
      <c r="K44" s="613">
        <f>300000000-50000000</f>
        <v>250000000</v>
      </c>
      <c r="L44" s="613">
        <f>300000000-50000000</f>
        <v>250000000</v>
      </c>
      <c r="M44" s="52">
        <f>300000000-50000000</f>
        <v>250000000</v>
      </c>
      <c r="N44" s="44"/>
      <c r="O44" s="44"/>
      <c r="P44" s="44"/>
      <c r="Q44" s="549"/>
      <c r="R44" s="488"/>
    </row>
    <row r="45" spans="2:19" s="15" customFormat="1" ht="7.5" customHeight="1" x14ac:dyDescent="0.25">
      <c r="B45" s="13"/>
      <c r="C45" s="83"/>
      <c r="D45" s="84"/>
      <c r="E45" s="1596"/>
      <c r="F45" s="1597"/>
      <c r="G45" s="1598"/>
      <c r="H45" s="41"/>
      <c r="I45" s="57"/>
      <c r="J45" s="614"/>
      <c r="K45" s="614"/>
      <c r="L45" s="614"/>
      <c r="M45" s="58"/>
      <c r="N45" s="992"/>
      <c r="O45" s="992"/>
      <c r="P45" s="44"/>
      <c r="Q45" s="546"/>
      <c r="R45" s="488"/>
    </row>
    <row r="46" spans="2:19" s="15" customFormat="1" ht="33" customHeight="1" x14ac:dyDescent="0.25">
      <c r="B46" s="13"/>
      <c r="C46" s="34" t="s">
        <v>437</v>
      </c>
      <c r="D46" s="1599" t="s">
        <v>67</v>
      </c>
      <c r="E46" s="1600"/>
      <c r="F46" s="1600"/>
      <c r="G46" s="1601"/>
      <c r="H46" s="35" t="s">
        <v>68</v>
      </c>
      <c r="I46" s="36"/>
      <c r="J46" s="610">
        <f>SUM(J47:J50)</f>
        <v>1472000000</v>
      </c>
      <c r="K46" s="610">
        <f>SUM(K47:K50)</f>
        <v>1422000000</v>
      </c>
      <c r="L46" s="610">
        <f>SUM(L47:L50)</f>
        <v>1472000000</v>
      </c>
      <c r="M46" s="37">
        <f>SUM(M47:M50)</f>
        <v>1422000000</v>
      </c>
      <c r="N46" s="991"/>
      <c r="O46" s="991"/>
      <c r="P46" s="38"/>
      <c r="Q46" s="547"/>
      <c r="R46" s="487"/>
    </row>
    <row r="47" spans="2:19" s="29" customFormat="1" ht="16.5" customHeight="1" x14ac:dyDescent="0.25">
      <c r="B47" s="13"/>
      <c r="C47" s="54"/>
      <c r="D47" s="55" t="s">
        <v>5</v>
      </c>
      <c r="E47" s="1602" t="s">
        <v>69</v>
      </c>
      <c r="F47" s="1603"/>
      <c r="G47" s="1604"/>
      <c r="H47" s="41" t="s">
        <v>466</v>
      </c>
      <c r="I47" s="85">
        <v>1</v>
      </c>
      <c r="J47" s="1083">
        <v>300000000</v>
      </c>
      <c r="K47" s="1083">
        <f>300000000-50000000</f>
        <v>250000000</v>
      </c>
      <c r="L47" s="1083">
        <v>300000000</v>
      </c>
      <c r="M47" s="1084">
        <f>300000000-50000000</f>
        <v>250000000</v>
      </c>
      <c r="N47" s="992"/>
      <c r="O47" s="992"/>
      <c r="P47" s="44"/>
      <c r="Q47" s="550"/>
      <c r="R47" s="488"/>
    </row>
    <row r="48" spans="2:19" s="29" customFormat="1" ht="16.5" customHeight="1" x14ac:dyDescent="0.25">
      <c r="B48" s="13"/>
      <c r="C48" s="54"/>
      <c r="D48" s="55" t="s">
        <v>10</v>
      </c>
      <c r="E48" s="1584" t="s">
        <v>70</v>
      </c>
      <c r="F48" s="1585"/>
      <c r="G48" s="1586"/>
      <c r="H48" s="46" t="s">
        <v>71</v>
      </c>
      <c r="I48" s="42">
        <v>1</v>
      </c>
      <c r="J48" s="620">
        <v>350000000</v>
      </c>
      <c r="K48" s="620">
        <v>350000000</v>
      </c>
      <c r="L48" s="620">
        <v>350000000</v>
      </c>
      <c r="M48" s="86">
        <v>350000000</v>
      </c>
      <c r="N48" s="992"/>
      <c r="O48" s="992"/>
      <c r="P48" s="44"/>
      <c r="Q48" s="551"/>
      <c r="R48" s="488"/>
    </row>
    <row r="49" spans="2:20" s="29" customFormat="1" ht="16.5" customHeight="1" x14ac:dyDescent="0.25">
      <c r="B49" s="13"/>
      <c r="C49" s="87"/>
      <c r="D49" s="88" t="s">
        <v>13</v>
      </c>
      <c r="E49" s="1605" t="s">
        <v>72</v>
      </c>
      <c r="F49" s="1606"/>
      <c r="G49" s="1607"/>
      <c r="H49" s="46" t="s">
        <v>73</v>
      </c>
      <c r="I49" s="42">
        <v>1</v>
      </c>
      <c r="J49" s="612">
        <f>722000000</f>
        <v>722000000</v>
      </c>
      <c r="K49" s="612">
        <f>722000000</f>
        <v>722000000</v>
      </c>
      <c r="L49" s="612">
        <f>722000000</f>
        <v>722000000</v>
      </c>
      <c r="M49" s="47">
        <f>722000000</f>
        <v>722000000</v>
      </c>
      <c r="N49" s="44"/>
      <c r="O49" s="44"/>
      <c r="P49" s="44"/>
      <c r="Q49" s="551"/>
      <c r="R49" s="488"/>
    </row>
    <row r="50" spans="2:20" s="29" customFormat="1" ht="28.5" customHeight="1" x14ac:dyDescent="0.25">
      <c r="B50" s="13"/>
      <c r="C50" s="76"/>
      <c r="D50" s="89" t="s">
        <v>16</v>
      </c>
      <c r="E50" s="1584" t="s">
        <v>74</v>
      </c>
      <c r="F50" s="1585"/>
      <c r="G50" s="1586"/>
      <c r="H50" s="50" t="s">
        <v>467</v>
      </c>
      <c r="I50" s="51">
        <v>1</v>
      </c>
      <c r="J50" s="621">
        <v>100000000</v>
      </c>
      <c r="K50" s="621">
        <v>100000000</v>
      </c>
      <c r="L50" s="621">
        <v>100000000</v>
      </c>
      <c r="M50" s="90">
        <v>100000000</v>
      </c>
      <c r="N50" s="992"/>
      <c r="O50" s="992"/>
      <c r="P50" s="44"/>
      <c r="Q50" s="545"/>
      <c r="R50" s="488"/>
    </row>
    <row r="51" spans="2:20" ht="3.75" customHeight="1" x14ac:dyDescent="0.25">
      <c r="C51" s="95"/>
      <c r="D51" s="96"/>
      <c r="E51" s="982"/>
      <c r="F51" s="97"/>
      <c r="G51" s="983"/>
      <c r="H51" s="98"/>
      <c r="I51" s="99"/>
      <c r="J51" s="622"/>
      <c r="K51" s="622"/>
      <c r="L51" s="622"/>
      <c r="M51" s="100"/>
      <c r="N51" s="993"/>
      <c r="O51" s="993"/>
      <c r="P51" s="101"/>
      <c r="Q51" s="552"/>
      <c r="R51" s="491"/>
    </row>
    <row r="52" spans="2:20" s="15" customFormat="1" ht="30" customHeight="1" x14ac:dyDescent="0.25">
      <c r="B52" s="13"/>
      <c r="C52" s="102"/>
      <c r="D52" s="1587" t="s">
        <v>75</v>
      </c>
      <c r="E52" s="1588"/>
      <c r="F52" s="1588"/>
      <c r="G52" s="1588"/>
      <c r="H52" s="1588"/>
      <c r="I52" s="1589"/>
      <c r="J52" s="623">
        <f>J53+J143+J169+J174+J182+J223+J227+J231+J238+J254+J260</f>
        <v>312375410542</v>
      </c>
      <c r="K52" s="623">
        <f>K53+K143+K169+K174+K182+K223+K227+K231+K238+K254+K260</f>
        <v>333925410542</v>
      </c>
      <c r="L52" s="623">
        <f>L53+L143+L169+L174+L182+L223+L227+L231+L238+L254+L260</f>
        <v>312375410542</v>
      </c>
      <c r="M52" s="103">
        <f>M53+M143+M169+M174+M182+M223+M227+M231+M238+M254+M260</f>
        <v>333925410542</v>
      </c>
      <c r="N52" s="994"/>
      <c r="O52" s="994"/>
      <c r="P52" s="104"/>
      <c r="Q52" s="593"/>
      <c r="R52" s="14"/>
    </row>
    <row r="53" spans="2:20" s="15" customFormat="1" ht="32.25" customHeight="1" x14ac:dyDescent="0.25">
      <c r="B53" s="13"/>
      <c r="C53" s="1506" t="s">
        <v>438</v>
      </c>
      <c r="D53" s="1507"/>
      <c r="E53" s="1590" t="s">
        <v>76</v>
      </c>
      <c r="F53" s="1591"/>
      <c r="G53" s="1592"/>
      <c r="H53" s="105" t="s">
        <v>77</v>
      </c>
      <c r="I53" s="106"/>
      <c r="J53" s="624">
        <f>J54+J55+J59+J63+J66+J67+J68+J69+J91+J93+J97+J102+J112+J115+J120+J126+J128+J130+J132+J137</f>
        <v>175815000000</v>
      </c>
      <c r="K53" s="624">
        <f>K54+K55+K59+K63+K66+K67+K68+K69+K91+K93+K97+K102+K112+K115+K120+K126+K128+K130+K132+K137</f>
        <v>197365000000</v>
      </c>
      <c r="L53" s="624">
        <f>L54+L55+L59+L63+L66+L67+L68+L69+L91+L93+L97+L102+L112+L115+L120+L126+L128+L130+L132+L137</f>
        <v>179015000000</v>
      </c>
      <c r="M53" s="107">
        <f>M54+M55+M59+M63+M66+M67+M68+M69+M91+M93+M97+M102+M112+M115+M120+M126+M128+M130+M132+M137</f>
        <v>200565000000</v>
      </c>
      <c r="N53" s="995"/>
      <c r="O53" s="995"/>
      <c r="P53" s="108"/>
      <c r="Q53" s="515"/>
      <c r="R53" s="108"/>
      <c r="S53" s="16">
        <v>1100000000</v>
      </c>
      <c r="T53" s="21">
        <v>172915000000</v>
      </c>
    </row>
    <row r="54" spans="2:20" s="113" customFormat="1" ht="27.75" customHeight="1" x14ac:dyDescent="0.25">
      <c r="B54" s="59"/>
      <c r="C54" s="114"/>
      <c r="D54" s="447"/>
      <c r="E54" s="88" t="s">
        <v>5</v>
      </c>
      <c r="F54" s="1579" t="s">
        <v>78</v>
      </c>
      <c r="G54" s="1580"/>
      <c r="H54" s="165" t="s">
        <v>79</v>
      </c>
      <c r="I54" s="110">
        <v>1</v>
      </c>
      <c r="J54" s="625">
        <f>550000000+200000000</f>
        <v>750000000</v>
      </c>
      <c r="K54" s="625">
        <f>550000000+200000000+50000000</f>
        <v>800000000</v>
      </c>
      <c r="L54" s="625">
        <f>550000000+200000000</f>
        <v>750000000</v>
      </c>
      <c r="M54" s="111">
        <f>550000000+200000000+50000000</f>
        <v>800000000</v>
      </c>
      <c r="N54" s="112"/>
      <c r="O54" s="112"/>
      <c r="P54" s="112"/>
      <c r="Q54" s="553"/>
      <c r="R54" s="112"/>
    </row>
    <row r="55" spans="2:20" s="113" customFormat="1" ht="19.5" customHeight="1" x14ac:dyDescent="0.25">
      <c r="B55" s="59"/>
      <c r="C55" s="39"/>
      <c r="D55" s="109"/>
      <c r="E55" s="450" t="s">
        <v>10</v>
      </c>
      <c r="F55" s="1577" t="s">
        <v>80</v>
      </c>
      <c r="G55" s="1578"/>
      <c r="H55" s="173" t="s">
        <v>411</v>
      </c>
      <c r="I55" s="445" t="s">
        <v>430</v>
      </c>
      <c r="J55" s="626">
        <f>SUM(J56:J58)</f>
        <v>850000000</v>
      </c>
      <c r="K55" s="626">
        <f t="shared" ref="K55:M55" si="0">SUM(K56:K58)</f>
        <v>1350000000</v>
      </c>
      <c r="L55" s="626">
        <f t="shared" si="0"/>
        <v>850000000</v>
      </c>
      <c r="M55" s="117">
        <f t="shared" si="0"/>
        <v>1350000000</v>
      </c>
      <c r="N55" s="118"/>
      <c r="O55" s="118"/>
      <c r="P55" s="118"/>
      <c r="Q55" s="554"/>
      <c r="R55" s="118"/>
    </row>
    <row r="56" spans="2:20" s="113" customFormat="1" x14ac:dyDescent="0.25">
      <c r="B56" s="59"/>
      <c r="C56" s="119"/>
      <c r="D56" s="120"/>
      <c r="E56" s="121"/>
      <c r="F56" s="122" t="s">
        <v>46</v>
      </c>
      <c r="G56" s="123" t="s">
        <v>81</v>
      </c>
      <c r="H56" s="601"/>
      <c r="I56" s="124" t="s">
        <v>86</v>
      </c>
      <c r="J56" s="627">
        <v>500000000</v>
      </c>
      <c r="K56" s="627">
        <v>500000000</v>
      </c>
      <c r="L56" s="627">
        <v>500000000</v>
      </c>
      <c r="M56" s="125">
        <v>500000000</v>
      </c>
      <c r="N56" s="126"/>
      <c r="O56" s="126"/>
      <c r="P56" s="126"/>
      <c r="Q56" s="555"/>
      <c r="R56" s="126"/>
    </row>
    <row r="57" spans="2:20" s="113" customFormat="1" x14ac:dyDescent="0.25">
      <c r="B57" s="59"/>
      <c r="C57" s="119"/>
      <c r="D57" s="120"/>
      <c r="E57" s="121"/>
      <c r="F57" s="122" t="s">
        <v>46</v>
      </c>
      <c r="G57" s="123" t="s">
        <v>82</v>
      </c>
      <c r="H57" s="601"/>
      <c r="I57" s="124" t="s">
        <v>86</v>
      </c>
      <c r="J57" s="627">
        <v>350000000</v>
      </c>
      <c r="K57" s="627">
        <v>350000000</v>
      </c>
      <c r="L57" s="627">
        <v>350000000</v>
      </c>
      <c r="M57" s="125">
        <v>350000000</v>
      </c>
      <c r="N57" s="126"/>
      <c r="O57" s="126"/>
      <c r="P57" s="126"/>
      <c r="Q57" s="555"/>
      <c r="R57" s="126"/>
    </row>
    <row r="58" spans="2:20" s="113" customFormat="1" x14ac:dyDescent="0.25">
      <c r="B58" s="59"/>
      <c r="C58" s="119"/>
      <c r="D58" s="120"/>
      <c r="E58" s="121"/>
      <c r="F58" s="1079" t="s">
        <v>46</v>
      </c>
      <c r="G58" s="1080" t="s">
        <v>518</v>
      </c>
      <c r="H58" s="1081"/>
      <c r="I58" s="1082" t="s">
        <v>86</v>
      </c>
      <c r="J58" s="1075">
        <v>0</v>
      </c>
      <c r="K58" s="1075">
        <f>500000000</f>
        <v>500000000</v>
      </c>
      <c r="L58" s="1075">
        <v>0</v>
      </c>
      <c r="M58" s="1076">
        <f>500000000</f>
        <v>500000000</v>
      </c>
      <c r="N58" s="126"/>
      <c r="O58" s="126"/>
      <c r="P58" s="126"/>
      <c r="Q58" s="555"/>
      <c r="R58" s="126"/>
    </row>
    <row r="59" spans="2:20" s="113" customFormat="1" ht="21" customHeight="1" x14ac:dyDescent="0.25">
      <c r="B59" s="59"/>
      <c r="C59" s="39"/>
      <c r="D59" s="109"/>
      <c r="E59" s="449" t="s">
        <v>13</v>
      </c>
      <c r="F59" s="1581" t="s">
        <v>83</v>
      </c>
      <c r="G59" s="1581"/>
      <c r="H59" s="469" t="s">
        <v>412</v>
      </c>
      <c r="I59" s="444" t="s">
        <v>430</v>
      </c>
      <c r="J59" s="626">
        <f>SUM(J60:J61)</f>
        <v>400000000</v>
      </c>
      <c r="K59" s="626">
        <f>SUM(K60:K61)</f>
        <v>400000000</v>
      </c>
      <c r="L59" s="626">
        <f>SUM(L60:L61)</f>
        <v>400000000</v>
      </c>
      <c r="M59" s="117">
        <f>SUM(M60:M61)</f>
        <v>400000000</v>
      </c>
      <c r="N59" s="118"/>
      <c r="O59" s="118"/>
      <c r="P59" s="118"/>
      <c r="Q59" s="556"/>
      <c r="R59" s="118"/>
    </row>
    <row r="60" spans="2:20" s="113" customFormat="1" x14ac:dyDescent="0.25">
      <c r="B60" s="59"/>
      <c r="C60" s="127"/>
      <c r="D60" s="128"/>
      <c r="E60" s="129"/>
      <c r="F60" s="130" t="s">
        <v>46</v>
      </c>
      <c r="G60" s="131" t="s">
        <v>84</v>
      </c>
      <c r="H60" s="602"/>
      <c r="I60" s="116" t="s">
        <v>86</v>
      </c>
      <c r="J60" s="627">
        <v>200000000</v>
      </c>
      <c r="K60" s="627">
        <v>200000000</v>
      </c>
      <c r="L60" s="627">
        <v>200000000</v>
      </c>
      <c r="M60" s="125">
        <v>200000000</v>
      </c>
      <c r="N60" s="126"/>
      <c r="O60" s="126"/>
      <c r="P60" s="126"/>
      <c r="Q60" s="557"/>
      <c r="R60" s="126"/>
    </row>
    <row r="61" spans="2:20" s="113" customFormat="1" ht="14.25" customHeight="1" x14ac:dyDescent="0.25">
      <c r="B61" s="59"/>
      <c r="C61" s="119"/>
      <c r="D61" s="120"/>
      <c r="E61" s="121"/>
      <c r="F61" s="122" t="s">
        <v>46</v>
      </c>
      <c r="G61" s="123" t="s">
        <v>85</v>
      </c>
      <c r="H61" s="601"/>
      <c r="I61" s="124" t="s">
        <v>86</v>
      </c>
      <c r="J61" s="627">
        <v>200000000</v>
      </c>
      <c r="K61" s="627">
        <v>200000000</v>
      </c>
      <c r="L61" s="627">
        <v>200000000</v>
      </c>
      <c r="M61" s="125">
        <v>200000000</v>
      </c>
      <c r="N61" s="126"/>
      <c r="O61" s="126"/>
      <c r="P61" s="126"/>
      <c r="Q61" s="555"/>
      <c r="R61" s="126"/>
    </row>
    <row r="62" spans="2:20" s="82" customFormat="1" ht="20.25" customHeight="1" x14ac:dyDescent="0.25">
      <c r="B62" s="59"/>
      <c r="C62" s="39"/>
      <c r="D62" s="109"/>
      <c r="E62" s="88" t="s">
        <v>16</v>
      </c>
      <c r="F62" s="1582" t="s">
        <v>87</v>
      </c>
      <c r="G62" s="1583"/>
      <c r="H62" s="981" t="s">
        <v>413</v>
      </c>
      <c r="I62" s="134">
        <v>1</v>
      </c>
      <c r="J62" s="628">
        <v>0</v>
      </c>
      <c r="K62" s="628">
        <v>0</v>
      </c>
      <c r="L62" s="628">
        <v>0</v>
      </c>
      <c r="M62" s="135">
        <v>0</v>
      </c>
      <c r="N62" s="108"/>
      <c r="O62" s="108"/>
      <c r="P62" s="108"/>
      <c r="Q62" s="558"/>
      <c r="R62" s="108"/>
      <c r="S62" s="136"/>
    </row>
    <row r="63" spans="2:20" s="82" customFormat="1" ht="29.25" customHeight="1" x14ac:dyDescent="0.25">
      <c r="B63" s="59"/>
      <c r="C63" s="39"/>
      <c r="D63" s="109"/>
      <c r="E63" s="88" t="s">
        <v>19</v>
      </c>
      <c r="F63" s="1582" t="s">
        <v>88</v>
      </c>
      <c r="G63" s="1583"/>
      <c r="H63" s="469" t="s">
        <v>414</v>
      </c>
      <c r="I63" s="443" t="s">
        <v>430</v>
      </c>
      <c r="J63" s="626">
        <f>SUM(J64:J65)</f>
        <v>900000000</v>
      </c>
      <c r="K63" s="626">
        <f>SUM(K64:K65)</f>
        <v>900000000</v>
      </c>
      <c r="L63" s="626">
        <f>SUM(L64:L65)</f>
        <v>900000000</v>
      </c>
      <c r="M63" s="117">
        <f>SUM(M64:M65)</f>
        <v>900000000</v>
      </c>
      <c r="N63" s="118"/>
      <c r="O63" s="118"/>
      <c r="P63" s="118"/>
      <c r="Q63" s="559"/>
      <c r="R63" s="118"/>
    </row>
    <row r="64" spans="2:20" s="113" customFormat="1" ht="15.75" customHeight="1" x14ac:dyDescent="0.25">
      <c r="B64" s="59"/>
      <c r="C64" s="119"/>
      <c r="D64" s="120"/>
      <c r="E64" s="121"/>
      <c r="F64" s="122" t="s">
        <v>46</v>
      </c>
      <c r="G64" s="138" t="s">
        <v>392</v>
      </c>
      <c r="H64" s="601"/>
      <c r="I64" s="137" t="s">
        <v>86</v>
      </c>
      <c r="J64" s="627">
        <v>600000000</v>
      </c>
      <c r="K64" s="627">
        <v>600000000</v>
      </c>
      <c r="L64" s="627">
        <v>600000000</v>
      </c>
      <c r="M64" s="125">
        <v>600000000</v>
      </c>
      <c r="N64" s="126"/>
      <c r="O64" s="126"/>
      <c r="P64" s="126"/>
      <c r="Q64" s="560"/>
      <c r="R64" s="126"/>
    </row>
    <row r="65" spans="2:21" s="113" customFormat="1" ht="25.5" x14ac:dyDescent="0.25">
      <c r="B65" s="59"/>
      <c r="C65" s="119"/>
      <c r="D65" s="120"/>
      <c r="E65" s="121"/>
      <c r="F65" s="122" t="s">
        <v>46</v>
      </c>
      <c r="G65" s="138" t="s">
        <v>89</v>
      </c>
      <c r="H65" s="601"/>
      <c r="I65" s="137" t="s">
        <v>86</v>
      </c>
      <c r="J65" s="627">
        <v>300000000</v>
      </c>
      <c r="K65" s="627">
        <v>300000000</v>
      </c>
      <c r="L65" s="627">
        <v>300000000</v>
      </c>
      <c r="M65" s="125">
        <v>300000000</v>
      </c>
      <c r="N65" s="126"/>
      <c r="O65" s="126"/>
      <c r="P65" s="126"/>
      <c r="Q65" s="519"/>
      <c r="R65" s="126"/>
    </row>
    <row r="66" spans="2:21" s="29" customFormat="1" ht="19.5" customHeight="1" x14ac:dyDescent="0.25">
      <c r="B66" s="13"/>
      <c r="C66" s="39"/>
      <c r="D66" s="140"/>
      <c r="E66" s="109" t="s">
        <v>27</v>
      </c>
      <c r="F66" s="1533" t="s">
        <v>90</v>
      </c>
      <c r="G66" s="1534"/>
      <c r="H66" s="172" t="s">
        <v>91</v>
      </c>
      <c r="I66" s="142" t="s">
        <v>92</v>
      </c>
      <c r="J66" s="629">
        <f>100000000</f>
        <v>100000000</v>
      </c>
      <c r="K66" s="629">
        <f>100000000</f>
        <v>100000000</v>
      </c>
      <c r="L66" s="629">
        <f>100000000</f>
        <v>100000000</v>
      </c>
      <c r="M66" s="143">
        <f>100000000</f>
        <v>100000000</v>
      </c>
      <c r="N66" s="144"/>
      <c r="O66" s="144"/>
      <c r="P66" s="144"/>
      <c r="Q66" s="520"/>
      <c r="R66" s="492"/>
      <c r="U66" s="145"/>
    </row>
    <row r="67" spans="2:21" s="62" customFormat="1" ht="19.5" customHeight="1" x14ac:dyDescent="0.25">
      <c r="B67" s="59"/>
      <c r="C67" s="39"/>
      <c r="D67" s="109"/>
      <c r="E67" s="88" t="s">
        <v>30</v>
      </c>
      <c r="F67" s="1582" t="s">
        <v>93</v>
      </c>
      <c r="G67" s="1583"/>
      <c r="H67" s="981" t="s">
        <v>94</v>
      </c>
      <c r="I67" s="442" t="s">
        <v>481</v>
      </c>
      <c r="J67" s="630">
        <f>7200000000+4000000000</f>
        <v>11200000000</v>
      </c>
      <c r="K67" s="630">
        <f>7200000000+4000000000</f>
        <v>11200000000</v>
      </c>
      <c r="L67" s="630">
        <f>7200000000+4000000000</f>
        <v>11200000000</v>
      </c>
      <c r="M67" s="146">
        <f>7200000000+4000000000</f>
        <v>11200000000</v>
      </c>
      <c r="N67" s="147"/>
      <c r="O67" s="147"/>
      <c r="P67" s="147"/>
      <c r="Q67" s="521"/>
      <c r="R67" s="118"/>
      <c r="S67" s="148"/>
      <c r="U67" s="148">
        <f>T67/800000</f>
        <v>0</v>
      </c>
    </row>
    <row r="68" spans="2:21" s="113" customFormat="1" ht="19.5" customHeight="1" x14ac:dyDescent="0.25">
      <c r="B68" s="59"/>
      <c r="C68" s="39"/>
      <c r="D68" s="109"/>
      <c r="E68" s="88" t="s">
        <v>8</v>
      </c>
      <c r="F68" s="1582" t="s">
        <v>95</v>
      </c>
      <c r="G68" s="1583"/>
      <c r="H68" s="469" t="s">
        <v>96</v>
      </c>
      <c r="I68" s="110" t="s">
        <v>429</v>
      </c>
      <c r="J68" s="631">
        <f>16100000000-10000000000+200000000</f>
        <v>6300000000</v>
      </c>
      <c r="K68" s="631">
        <f>16100000000-10000000000+200000000</f>
        <v>6300000000</v>
      </c>
      <c r="L68" s="631">
        <f>16100000000-10000000000+200000000</f>
        <v>6300000000</v>
      </c>
      <c r="M68" s="149">
        <f>16100000000-10000000000+200000000</f>
        <v>6300000000</v>
      </c>
      <c r="N68" s="150"/>
      <c r="O68" s="150"/>
      <c r="P68" s="150"/>
      <c r="Q68" s="516"/>
      <c r="R68" s="112"/>
      <c r="T68" s="151"/>
    </row>
    <row r="69" spans="2:21" s="82" customFormat="1" ht="19.5" customHeight="1" x14ac:dyDescent="0.25">
      <c r="B69" s="59"/>
      <c r="C69" s="39"/>
      <c r="D69" s="109"/>
      <c r="E69" s="88" t="s">
        <v>22</v>
      </c>
      <c r="F69" s="1579" t="s">
        <v>97</v>
      </c>
      <c r="G69" s="1580"/>
      <c r="H69" s="152" t="s">
        <v>98</v>
      </c>
      <c r="I69" s="153">
        <v>1</v>
      </c>
      <c r="J69" s="632">
        <f>SUM(J70:J75)</f>
        <v>6600000000</v>
      </c>
      <c r="K69" s="632">
        <f>SUM(K70:K75)</f>
        <v>6600000000</v>
      </c>
      <c r="L69" s="632">
        <f>SUM(L70:L75)</f>
        <v>6600000000</v>
      </c>
      <c r="M69" s="154">
        <f>SUM(M70:M75)</f>
        <v>6600000000</v>
      </c>
      <c r="N69" s="118"/>
      <c r="O69" s="118"/>
      <c r="P69" s="118"/>
      <c r="Q69" s="522"/>
      <c r="R69" s="118"/>
      <c r="T69" s="155"/>
    </row>
    <row r="70" spans="2:21" s="163" customFormat="1" x14ac:dyDescent="0.25">
      <c r="B70" s="59"/>
      <c r="C70" s="119"/>
      <c r="D70" s="156"/>
      <c r="E70" s="157"/>
      <c r="F70" s="158" t="s">
        <v>46</v>
      </c>
      <c r="G70" s="159" t="s">
        <v>99</v>
      </c>
      <c r="H70" s="160"/>
      <c r="I70" s="161"/>
      <c r="J70" s="633">
        <v>1100000000</v>
      </c>
      <c r="K70" s="633">
        <v>1100000000</v>
      </c>
      <c r="L70" s="633">
        <v>1100000000</v>
      </c>
      <c r="M70" s="162">
        <v>1100000000</v>
      </c>
      <c r="N70" s="126"/>
      <c r="O70" s="126"/>
      <c r="P70" s="126"/>
      <c r="Q70" s="523"/>
      <c r="R70" s="126"/>
    </row>
    <row r="71" spans="2:21" s="163" customFormat="1" x14ac:dyDescent="0.25">
      <c r="B71" s="59"/>
      <c r="C71" s="119"/>
      <c r="D71" s="156"/>
      <c r="E71" s="157"/>
      <c r="F71" s="158" t="s">
        <v>46</v>
      </c>
      <c r="G71" s="159" t="s">
        <v>100</v>
      </c>
      <c r="H71" s="160"/>
      <c r="I71" s="161"/>
      <c r="J71" s="633">
        <v>1100000000</v>
      </c>
      <c r="K71" s="633">
        <v>1100000000</v>
      </c>
      <c r="L71" s="633">
        <v>1100000000</v>
      </c>
      <c r="M71" s="162">
        <v>1100000000</v>
      </c>
      <c r="N71" s="126"/>
      <c r="O71" s="126"/>
      <c r="P71" s="126"/>
      <c r="Q71" s="523"/>
      <c r="R71" s="126"/>
      <c r="T71" s="164"/>
    </row>
    <row r="72" spans="2:21" s="163" customFormat="1" x14ac:dyDescent="0.25">
      <c r="B72" s="59"/>
      <c r="C72" s="119"/>
      <c r="D72" s="156"/>
      <c r="E72" s="157"/>
      <c r="F72" s="158" t="s">
        <v>46</v>
      </c>
      <c r="G72" s="159" t="s">
        <v>101</v>
      </c>
      <c r="H72" s="160"/>
      <c r="I72" s="161"/>
      <c r="J72" s="633">
        <v>1100000000</v>
      </c>
      <c r="K72" s="633">
        <v>1100000000</v>
      </c>
      <c r="L72" s="633">
        <v>1100000000</v>
      </c>
      <c r="M72" s="162">
        <v>1100000000</v>
      </c>
      <c r="N72" s="126"/>
      <c r="O72" s="126"/>
      <c r="P72" s="126"/>
      <c r="Q72" s="523"/>
      <c r="R72" s="126"/>
    </row>
    <row r="73" spans="2:21" s="163" customFormat="1" x14ac:dyDescent="0.25">
      <c r="B73" s="59"/>
      <c r="C73" s="119"/>
      <c r="D73" s="156"/>
      <c r="E73" s="157"/>
      <c r="F73" s="158" t="s">
        <v>46</v>
      </c>
      <c r="G73" s="159" t="s">
        <v>102</v>
      </c>
      <c r="H73" s="160"/>
      <c r="I73" s="161"/>
      <c r="J73" s="633">
        <v>1100000000</v>
      </c>
      <c r="K73" s="633">
        <v>1100000000</v>
      </c>
      <c r="L73" s="633">
        <v>1100000000</v>
      </c>
      <c r="M73" s="162">
        <v>1100000000</v>
      </c>
      <c r="N73" s="126"/>
      <c r="O73" s="126"/>
      <c r="P73" s="126"/>
      <c r="Q73" s="523"/>
      <c r="R73" s="126"/>
    </row>
    <row r="74" spans="2:21" s="163" customFormat="1" x14ac:dyDescent="0.25">
      <c r="B74" s="59"/>
      <c r="C74" s="119"/>
      <c r="D74" s="156"/>
      <c r="E74" s="157"/>
      <c r="F74" s="158" t="s">
        <v>46</v>
      </c>
      <c r="G74" s="159" t="s">
        <v>103</v>
      </c>
      <c r="H74" s="160"/>
      <c r="I74" s="161"/>
      <c r="J74" s="633">
        <v>1100000000</v>
      </c>
      <c r="K74" s="633">
        <v>1100000000</v>
      </c>
      <c r="L74" s="633">
        <v>1100000000</v>
      </c>
      <c r="M74" s="162">
        <v>1100000000</v>
      </c>
      <c r="N74" s="126"/>
      <c r="O74" s="126"/>
      <c r="P74" s="126"/>
      <c r="Q74" s="523"/>
      <c r="R74" s="126"/>
    </row>
    <row r="75" spans="2:21" s="163" customFormat="1" x14ac:dyDescent="0.25">
      <c r="B75" s="59"/>
      <c r="C75" s="119"/>
      <c r="D75" s="156"/>
      <c r="E75" s="157"/>
      <c r="F75" s="158" t="s">
        <v>46</v>
      </c>
      <c r="G75" s="159" t="s">
        <v>104</v>
      </c>
      <c r="H75" s="160"/>
      <c r="I75" s="161"/>
      <c r="J75" s="633">
        <v>1100000000</v>
      </c>
      <c r="K75" s="633">
        <v>1100000000</v>
      </c>
      <c r="L75" s="633">
        <v>1100000000</v>
      </c>
      <c r="M75" s="162">
        <v>1100000000</v>
      </c>
      <c r="N75" s="126"/>
      <c r="O75" s="126"/>
      <c r="P75" s="126"/>
      <c r="Q75" s="523"/>
      <c r="R75" s="126"/>
    </row>
    <row r="76" spans="2:21" s="113" customFormat="1" ht="19.5" customHeight="1" x14ac:dyDescent="0.25">
      <c r="B76" s="59"/>
      <c r="C76" s="39"/>
      <c r="D76" s="109"/>
      <c r="E76" s="88" t="s">
        <v>210</v>
      </c>
      <c r="F76" s="1577" t="s">
        <v>105</v>
      </c>
      <c r="G76" s="1578"/>
      <c r="H76" s="165" t="s">
        <v>106</v>
      </c>
      <c r="I76" s="166">
        <v>1</v>
      </c>
      <c r="J76" s="634">
        <v>0</v>
      </c>
      <c r="K76" s="634">
        <v>0</v>
      </c>
      <c r="L76" s="634">
        <v>0</v>
      </c>
      <c r="M76" s="167">
        <v>0</v>
      </c>
      <c r="N76" s="168"/>
      <c r="O76" s="168"/>
      <c r="P76" s="168"/>
      <c r="Q76" s="524"/>
      <c r="R76" s="168"/>
      <c r="S76" s="113" t="s">
        <v>107</v>
      </c>
    </row>
    <row r="77" spans="2:21" s="113" customFormat="1" ht="15.75" hidden="1" customHeight="1" x14ac:dyDescent="0.25">
      <c r="B77" s="59"/>
      <c r="C77" s="119"/>
      <c r="D77" s="156"/>
      <c r="E77" s="157"/>
      <c r="F77" s="169" t="s">
        <v>46</v>
      </c>
      <c r="G77" s="170" t="s">
        <v>108</v>
      </c>
      <c r="H77" s="171"/>
      <c r="I77" s="116" t="s">
        <v>109</v>
      </c>
      <c r="J77" s="627">
        <v>17500000000</v>
      </c>
      <c r="K77" s="627">
        <v>17500000000</v>
      </c>
      <c r="L77" s="627">
        <v>17500000000</v>
      </c>
      <c r="M77" s="125">
        <v>17500000000</v>
      </c>
      <c r="N77" s="126"/>
      <c r="O77" s="126"/>
      <c r="P77" s="126"/>
      <c r="Q77" s="517"/>
      <c r="R77" s="126"/>
    </row>
    <row r="78" spans="2:21" s="113" customFormat="1" ht="15.75" hidden="1" customHeight="1" x14ac:dyDescent="0.25">
      <c r="B78" s="59"/>
      <c r="C78" s="119"/>
      <c r="D78" s="156"/>
      <c r="E78" s="157"/>
      <c r="F78" s="169" t="s">
        <v>46</v>
      </c>
      <c r="G78" s="170" t="s">
        <v>110</v>
      </c>
      <c r="H78" s="171"/>
      <c r="I78" s="116" t="s">
        <v>111</v>
      </c>
      <c r="J78" s="627">
        <v>7500000000</v>
      </c>
      <c r="K78" s="627">
        <v>7500000000</v>
      </c>
      <c r="L78" s="627">
        <v>7500000000</v>
      </c>
      <c r="M78" s="125">
        <v>7500000000</v>
      </c>
      <c r="N78" s="126"/>
      <c r="O78" s="126"/>
      <c r="P78" s="126"/>
      <c r="Q78" s="517"/>
      <c r="R78" s="126"/>
    </row>
    <row r="79" spans="2:21" s="113" customFormat="1" ht="15.75" hidden="1" customHeight="1" x14ac:dyDescent="0.25">
      <c r="B79" s="59"/>
      <c r="C79" s="119"/>
      <c r="D79" s="156"/>
      <c r="E79" s="157"/>
      <c r="F79" s="169" t="s">
        <v>46</v>
      </c>
      <c r="G79" s="170" t="s">
        <v>112</v>
      </c>
      <c r="H79" s="171"/>
      <c r="I79" s="116" t="s">
        <v>113</v>
      </c>
      <c r="J79" s="627">
        <v>15400000000</v>
      </c>
      <c r="K79" s="627">
        <v>15400000000</v>
      </c>
      <c r="L79" s="627">
        <v>15400000000</v>
      </c>
      <c r="M79" s="125">
        <v>15400000000</v>
      </c>
      <c r="N79" s="126"/>
      <c r="O79" s="126"/>
      <c r="P79" s="126"/>
      <c r="Q79" s="517"/>
      <c r="R79" s="126"/>
    </row>
    <row r="80" spans="2:21" s="113" customFormat="1" ht="15.75" hidden="1" customHeight="1" x14ac:dyDescent="0.25">
      <c r="B80" s="59"/>
      <c r="C80" s="119"/>
      <c r="D80" s="156"/>
      <c r="E80" s="157"/>
      <c r="F80" s="169" t="s">
        <v>46</v>
      </c>
      <c r="G80" s="170" t="s">
        <v>114</v>
      </c>
      <c r="H80" s="171"/>
      <c r="I80" s="116" t="s">
        <v>115</v>
      </c>
      <c r="J80" s="627">
        <v>0</v>
      </c>
      <c r="K80" s="627">
        <v>0</v>
      </c>
      <c r="L80" s="627">
        <v>0</v>
      </c>
      <c r="M80" s="125">
        <v>0</v>
      </c>
      <c r="N80" s="126"/>
      <c r="O80" s="126"/>
      <c r="P80" s="126"/>
      <c r="Q80" s="517"/>
      <c r="R80" s="126"/>
    </row>
    <row r="81" spans="2:21" s="113" customFormat="1" ht="15.75" hidden="1" customHeight="1" x14ac:dyDescent="0.25">
      <c r="B81" s="59"/>
      <c r="C81" s="119"/>
      <c r="D81" s="156"/>
      <c r="E81" s="157"/>
      <c r="F81" s="169" t="s">
        <v>46</v>
      </c>
      <c r="G81" s="170" t="s">
        <v>116</v>
      </c>
      <c r="H81" s="171"/>
      <c r="I81" s="116">
        <v>1</v>
      </c>
      <c r="J81" s="627">
        <v>1000000</v>
      </c>
      <c r="K81" s="627">
        <v>1000000</v>
      </c>
      <c r="L81" s="627">
        <v>1000000</v>
      </c>
      <c r="M81" s="125">
        <v>1000000</v>
      </c>
      <c r="N81" s="126"/>
      <c r="O81" s="126"/>
      <c r="P81" s="126"/>
      <c r="Q81" s="517"/>
      <c r="R81" s="126"/>
    </row>
    <row r="82" spans="2:21" s="113" customFormat="1" ht="15.75" hidden="1" customHeight="1" x14ac:dyDescent="0.25">
      <c r="B82" s="59"/>
      <c r="C82" s="119"/>
      <c r="D82" s="156"/>
      <c r="E82" s="157"/>
      <c r="F82" s="169" t="s">
        <v>46</v>
      </c>
      <c r="G82" s="170" t="s">
        <v>117</v>
      </c>
      <c r="H82" s="171"/>
      <c r="I82" s="116">
        <v>1</v>
      </c>
      <c r="J82" s="627">
        <v>1000000</v>
      </c>
      <c r="K82" s="627">
        <v>1000000</v>
      </c>
      <c r="L82" s="627">
        <v>1000000</v>
      </c>
      <c r="M82" s="125">
        <v>1000000</v>
      </c>
      <c r="N82" s="126"/>
      <c r="O82" s="126"/>
      <c r="P82" s="126"/>
      <c r="Q82" s="517"/>
      <c r="R82" s="126"/>
    </row>
    <row r="83" spans="2:21" s="113" customFormat="1" ht="30.75" hidden="1" customHeight="1" x14ac:dyDescent="0.25">
      <c r="B83" s="59"/>
      <c r="C83" s="119"/>
      <c r="D83" s="156"/>
      <c r="E83" s="157"/>
      <c r="F83" s="169" t="s">
        <v>46</v>
      </c>
      <c r="G83" s="170" t="s">
        <v>118</v>
      </c>
      <c r="H83" s="171"/>
      <c r="I83" s="116">
        <v>1</v>
      </c>
      <c r="J83" s="627">
        <v>1000000</v>
      </c>
      <c r="K83" s="627">
        <v>1000000</v>
      </c>
      <c r="L83" s="627">
        <v>1000000</v>
      </c>
      <c r="M83" s="125">
        <v>1000000</v>
      </c>
      <c r="N83" s="126"/>
      <c r="O83" s="126"/>
      <c r="P83" s="126"/>
      <c r="Q83" s="517"/>
      <c r="R83" s="126"/>
    </row>
    <row r="84" spans="2:21" s="113" customFormat="1" ht="15.75" hidden="1" customHeight="1" x14ac:dyDescent="0.25">
      <c r="B84" s="59"/>
      <c r="C84" s="119"/>
      <c r="D84" s="156"/>
      <c r="E84" s="157"/>
      <c r="F84" s="169" t="s">
        <v>46</v>
      </c>
      <c r="G84" s="170" t="s">
        <v>119</v>
      </c>
      <c r="H84" s="171"/>
      <c r="I84" s="116">
        <v>1</v>
      </c>
      <c r="J84" s="627">
        <v>1000000</v>
      </c>
      <c r="K84" s="627">
        <v>1000000</v>
      </c>
      <c r="L84" s="627">
        <v>1000000</v>
      </c>
      <c r="M84" s="125">
        <v>1000000</v>
      </c>
      <c r="N84" s="126"/>
      <c r="O84" s="126"/>
      <c r="P84" s="126"/>
      <c r="Q84" s="517"/>
      <c r="R84" s="126"/>
    </row>
    <row r="85" spans="2:21" s="113" customFormat="1" ht="15.75" hidden="1" customHeight="1" x14ac:dyDescent="0.25">
      <c r="B85" s="59"/>
      <c r="C85" s="119"/>
      <c r="D85" s="156"/>
      <c r="E85" s="157"/>
      <c r="F85" s="169" t="s">
        <v>46</v>
      </c>
      <c r="G85" s="170" t="s">
        <v>120</v>
      </c>
      <c r="H85" s="171"/>
      <c r="I85" s="116">
        <v>1</v>
      </c>
      <c r="J85" s="627">
        <v>1000000</v>
      </c>
      <c r="K85" s="627">
        <v>1000000</v>
      </c>
      <c r="L85" s="627">
        <v>1000000</v>
      </c>
      <c r="M85" s="125">
        <v>1000000</v>
      </c>
      <c r="N85" s="126"/>
      <c r="O85" s="126"/>
      <c r="P85" s="126"/>
      <c r="Q85" s="517"/>
      <c r="R85" s="126"/>
    </row>
    <row r="86" spans="2:21" s="113" customFormat="1" ht="30.75" hidden="1" customHeight="1" x14ac:dyDescent="0.25">
      <c r="B86" s="59"/>
      <c r="C86" s="119"/>
      <c r="D86" s="156"/>
      <c r="E86" s="157"/>
      <c r="F86" s="169" t="s">
        <v>46</v>
      </c>
      <c r="G86" s="170" t="s">
        <v>121</v>
      </c>
      <c r="H86" s="171"/>
      <c r="I86" s="116">
        <v>1</v>
      </c>
      <c r="J86" s="627">
        <v>1000000</v>
      </c>
      <c r="K86" s="627">
        <v>1000000</v>
      </c>
      <c r="L86" s="627">
        <v>1000000</v>
      </c>
      <c r="M86" s="125">
        <v>1000000</v>
      </c>
      <c r="N86" s="126"/>
      <c r="O86" s="126"/>
      <c r="P86" s="126"/>
      <c r="Q86" s="517"/>
      <c r="R86" s="126"/>
    </row>
    <row r="87" spans="2:21" s="113" customFormat="1" ht="30.75" hidden="1" customHeight="1" x14ac:dyDescent="0.25">
      <c r="B87" s="59"/>
      <c r="C87" s="119"/>
      <c r="D87" s="156"/>
      <c r="E87" s="157"/>
      <c r="F87" s="169" t="s">
        <v>46</v>
      </c>
      <c r="G87" s="170" t="s">
        <v>122</v>
      </c>
      <c r="H87" s="171"/>
      <c r="I87" s="116">
        <v>1</v>
      </c>
      <c r="J87" s="627">
        <v>1000000</v>
      </c>
      <c r="K87" s="627">
        <v>1000000</v>
      </c>
      <c r="L87" s="627">
        <v>1000000</v>
      </c>
      <c r="M87" s="125">
        <v>1000000</v>
      </c>
      <c r="N87" s="126"/>
      <c r="O87" s="126"/>
      <c r="P87" s="126"/>
      <c r="Q87" s="517"/>
      <c r="R87" s="126"/>
    </row>
    <row r="88" spans="2:21" s="113" customFormat="1" ht="15.75" hidden="1" customHeight="1" x14ac:dyDescent="0.25">
      <c r="B88" s="59"/>
      <c r="C88" s="119"/>
      <c r="D88" s="156"/>
      <c r="E88" s="157"/>
      <c r="F88" s="169" t="s">
        <v>46</v>
      </c>
      <c r="G88" s="170" t="s">
        <v>123</v>
      </c>
      <c r="H88" s="171"/>
      <c r="I88" s="116">
        <v>2</v>
      </c>
      <c r="J88" s="627">
        <v>1000000</v>
      </c>
      <c r="K88" s="627">
        <v>1000000</v>
      </c>
      <c r="L88" s="627">
        <v>1000000</v>
      </c>
      <c r="M88" s="125">
        <v>1000000</v>
      </c>
      <c r="N88" s="126"/>
      <c r="O88" s="126"/>
      <c r="P88" s="126"/>
      <c r="Q88" s="517"/>
      <c r="R88" s="126"/>
    </row>
    <row r="89" spans="2:21" s="113" customFormat="1" ht="15.75" hidden="1" customHeight="1" x14ac:dyDescent="0.25">
      <c r="B89" s="59"/>
      <c r="C89" s="119"/>
      <c r="D89" s="156"/>
      <c r="E89" s="157"/>
      <c r="F89" s="169" t="s">
        <v>46</v>
      </c>
      <c r="G89" s="170" t="s">
        <v>124</v>
      </c>
      <c r="H89" s="171"/>
      <c r="I89" s="116">
        <v>1</v>
      </c>
      <c r="J89" s="627">
        <v>1000000</v>
      </c>
      <c r="K89" s="627">
        <v>1000000</v>
      </c>
      <c r="L89" s="627">
        <v>1000000</v>
      </c>
      <c r="M89" s="125">
        <v>1000000</v>
      </c>
      <c r="N89" s="126"/>
      <c r="O89" s="126"/>
      <c r="P89" s="126"/>
      <c r="Q89" s="517"/>
      <c r="R89" s="126"/>
    </row>
    <row r="90" spans="2:21" s="113" customFormat="1" ht="21.75" hidden="1" customHeight="1" x14ac:dyDescent="0.25">
      <c r="B90" s="59"/>
      <c r="C90" s="39"/>
      <c r="D90" s="109"/>
      <c r="E90" s="88"/>
      <c r="F90" s="1577" t="s">
        <v>125</v>
      </c>
      <c r="G90" s="1578"/>
      <c r="H90" s="172" t="s">
        <v>126</v>
      </c>
      <c r="I90" s="110"/>
      <c r="J90" s="625">
        <v>0</v>
      </c>
      <c r="K90" s="625">
        <v>0</v>
      </c>
      <c r="L90" s="625">
        <v>0</v>
      </c>
      <c r="M90" s="111">
        <v>0</v>
      </c>
      <c r="N90" s="112"/>
      <c r="O90" s="112"/>
      <c r="P90" s="112"/>
      <c r="Q90" s="516"/>
      <c r="R90" s="112"/>
    </row>
    <row r="91" spans="2:21" s="62" customFormat="1" ht="21" customHeight="1" x14ac:dyDescent="0.25">
      <c r="B91" s="59"/>
      <c r="C91" s="39"/>
      <c r="D91" s="109"/>
      <c r="E91" s="88" t="s">
        <v>439</v>
      </c>
      <c r="F91" s="1577" t="s">
        <v>127</v>
      </c>
      <c r="G91" s="1578"/>
      <c r="H91" s="173" t="s">
        <v>128</v>
      </c>
      <c r="I91" s="134" t="s">
        <v>397</v>
      </c>
      <c r="J91" s="626">
        <f>SUM(J92:J92)</f>
        <v>10000000000</v>
      </c>
      <c r="K91" s="626">
        <f>SUM(K92:K92)</f>
        <v>10000000000</v>
      </c>
      <c r="L91" s="626">
        <f>SUM(L92:L92)</f>
        <v>10000000000</v>
      </c>
      <c r="M91" s="117">
        <f>SUM(M92:M92)</f>
        <v>10000000000</v>
      </c>
      <c r="N91" s="118"/>
      <c r="O91" s="118"/>
      <c r="P91" s="118"/>
      <c r="Q91" s="518"/>
      <c r="R91" s="118"/>
    </row>
    <row r="92" spans="2:21" s="113" customFormat="1" x14ac:dyDescent="0.25">
      <c r="B92" s="59"/>
      <c r="C92" s="127"/>
      <c r="D92" s="128"/>
      <c r="E92" s="115"/>
      <c r="F92" s="174" t="s">
        <v>46</v>
      </c>
      <c r="G92" s="175" t="s">
        <v>129</v>
      </c>
      <c r="H92" s="602"/>
      <c r="I92" s="176" t="s">
        <v>393</v>
      </c>
      <c r="J92" s="635">
        <v>10000000000</v>
      </c>
      <c r="K92" s="635">
        <v>10000000000</v>
      </c>
      <c r="L92" s="635">
        <v>10000000000</v>
      </c>
      <c r="M92" s="177">
        <v>10000000000</v>
      </c>
      <c r="N92" s="178"/>
      <c r="O92" s="178"/>
      <c r="P92" s="178"/>
      <c r="Q92" s="525"/>
      <c r="R92" s="178"/>
    </row>
    <row r="93" spans="2:21" s="62" customFormat="1" ht="19.5" customHeight="1" x14ac:dyDescent="0.25">
      <c r="B93" s="59"/>
      <c r="C93" s="39"/>
      <c r="D93" s="109"/>
      <c r="E93" s="88" t="s">
        <v>440</v>
      </c>
      <c r="F93" s="1577" t="s">
        <v>130</v>
      </c>
      <c r="G93" s="1578"/>
      <c r="H93" s="165" t="s">
        <v>131</v>
      </c>
      <c r="I93" s="134" t="s">
        <v>398</v>
      </c>
      <c r="J93" s="626">
        <f>SUM(J94:J96)</f>
        <v>12000000000</v>
      </c>
      <c r="K93" s="626">
        <f>SUM(K94:K96)</f>
        <v>13000000000</v>
      </c>
      <c r="L93" s="626">
        <f>SUM(L94:L96)</f>
        <v>12000000000</v>
      </c>
      <c r="M93" s="117">
        <f>SUM(M94:M96)</f>
        <v>13000000000</v>
      </c>
      <c r="N93" s="118"/>
      <c r="O93" s="118"/>
      <c r="P93" s="118"/>
      <c r="Q93" s="518"/>
      <c r="R93" s="118"/>
    </row>
    <row r="94" spans="2:21" s="113" customFormat="1" x14ac:dyDescent="0.25">
      <c r="B94" s="59"/>
      <c r="C94" s="127"/>
      <c r="D94" s="128"/>
      <c r="E94" s="115"/>
      <c r="F94" s="130" t="s">
        <v>46</v>
      </c>
      <c r="G94" s="180" t="s">
        <v>132</v>
      </c>
      <c r="H94" s="602"/>
      <c r="I94" s="176" t="s">
        <v>133</v>
      </c>
      <c r="J94" s="1077">
        <v>4200000000</v>
      </c>
      <c r="K94" s="1077">
        <f>4200000000+1000000000</f>
        <v>5200000000</v>
      </c>
      <c r="L94" s="1077">
        <v>4200000000</v>
      </c>
      <c r="M94" s="1078">
        <f>4200000000+1000000000</f>
        <v>5200000000</v>
      </c>
      <c r="N94" s="178"/>
      <c r="O94" s="178"/>
      <c r="P94" s="178"/>
      <c r="Q94" s="525"/>
      <c r="R94" s="178"/>
      <c r="S94" s="181"/>
      <c r="U94" s="181"/>
    </row>
    <row r="95" spans="2:21" s="192" customFormat="1" x14ac:dyDescent="0.25">
      <c r="B95" s="182"/>
      <c r="C95" s="183"/>
      <c r="D95" s="184"/>
      <c r="E95" s="185"/>
      <c r="F95" s="186" t="s">
        <v>46</v>
      </c>
      <c r="G95" s="187" t="s">
        <v>132</v>
      </c>
      <c r="H95" s="603"/>
      <c r="I95" s="189"/>
      <c r="J95" s="636">
        <v>1800000000</v>
      </c>
      <c r="K95" s="636">
        <v>1800000000</v>
      </c>
      <c r="L95" s="636">
        <v>1800000000</v>
      </c>
      <c r="M95" s="190">
        <v>1800000000</v>
      </c>
      <c r="N95" s="191"/>
      <c r="O95" s="191"/>
      <c r="P95" s="191"/>
      <c r="Q95" s="584" t="s">
        <v>134</v>
      </c>
      <c r="R95" s="191">
        <v>1800000000</v>
      </c>
      <c r="S95" s="193" t="s">
        <v>134</v>
      </c>
      <c r="U95" s="193"/>
    </row>
    <row r="96" spans="2:21" s="113" customFormat="1" x14ac:dyDescent="0.25">
      <c r="B96" s="59"/>
      <c r="C96" s="127"/>
      <c r="D96" s="128"/>
      <c r="E96" s="115"/>
      <c r="F96" s="130" t="s">
        <v>46</v>
      </c>
      <c r="G96" s="180" t="s">
        <v>135</v>
      </c>
      <c r="H96" s="602"/>
      <c r="I96" s="176" t="s">
        <v>133</v>
      </c>
      <c r="J96" s="635">
        <v>6000000000</v>
      </c>
      <c r="K96" s="635">
        <v>6000000000</v>
      </c>
      <c r="L96" s="635">
        <v>6000000000</v>
      </c>
      <c r="M96" s="177">
        <v>6000000000</v>
      </c>
      <c r="N96" s="178"/>
      <c r="O96" s="178"/>
      <c r="P96" s="178"/>
      <c r="Q96" s="585"/>
      <c r="R96" s="178"/>
    </row>
    <row r="97" spans="2:19" s="62" customFormat="1" ht="28.5" customHeight="1" x14ac:dyDescent="0.25">
      <c r="B97" s="59"/>
      <c r="C97" s="598"/>
      <c r="D97" s="599"/>
      <c r="E97" s="697" t="s">
        <v>441</v>
      </c>
      <c r="F97" s="1546" t="s">
        <v>136</v>
      </c>
      <c r="G97" s="1547"/>
      <c r="H97" s="698" t="s">
        <v>137</v>
      </c>
      <c r="I97" s="699" t="s">
        <v>404</v>
      </c>
      <c r="J97" s="700">
        <f>SUM(J98:J101)</f>
        <v>26300000000</v>
      </c>
      <c r="K97" s="700">
        <f>SUM(K98:K101)</f>
        <v>35300000000</v>
      </c>
      <c r="L97" s="700">
        <f>SUM(L98:L101)</f>
        <v>28000000000</v>
      </c>
      <c r="M97" s="701">
        <f>SUM(M98:M101)</f>
        <v>37000000000</v>
      </c>
      <c r="N97" s="996"/>
      <c r="O97" s="996"/>
      <c r="P97" s="118"/>
      <c r="Q97" s="586"/>
      <c r="R97" s="118"/>
    </row>
    <row r="98" spans="2:19" s="113" customFormat="1" x14ac:dyDescent="0.25">
      <c r="B98" s="726"/>
      <c r="C98" s="127"/>
      <c r="D98" s="128"/>
      <c r="E98" s="115"/>
      <c r="F98" s="130" t="s">
        <v>46</v>
      </c>
      <c r="G98" s="201" t="s">
        <v>138</v>
      </c>
      <c r="H98" s="602"/>
      <c r="I98" s="116" t="s">
        <v>109</v>
      </c>
      <c r="J98" s="635">
        <v>12500000000</v>
      </c>
      <c r="K98" s="635">
        <v>12500000000</v>
      </c>
      <c r="L98" s="635">
        <v>12500000000</v>
      </c>
      <c r="M98" s="177">
        <v>12500000000</v>
      </c>
      <c r="N98" s="178"/>
      <c r="O98" s="178"/>
      <c r="P98" s="178"/>
      <c r="Q98" s="585"/>
      <c r="R98" s="178"/>
    </row>
    <row r="99" spans="2:19" s="113" customFormat="1" ht="12.75" customHeight="1" x14ac:dyDescent="0.25">
      <c r="B99" s="726"/>
      <c r="C99" s="127"/>
      <c r="D99" s="128"/>
      <c r="E99" s="115"/>
      <c r="F99" s="130" t="s">
        <v>46</v>
      </c>
      <c r="G99" s="201" t="s">
        <v>139</v>
      </c>
      <c r="H99" s="604"/>
      <c r="I99" s="116" t="s">
        <v>159</v>
      </c>
      <c r="J99" s="1077">
        <v>5800000000</v>
      </c>
      <c r="K99" s="1077">
        <f>5800000000+9000000000</f>
        <v>14800000000</v>
      </c>
      <c r="L99" s="1077">
        <f>5800000000+1700000000</f>
        <v>7500000000</v>
      </c>
      <c r="M99" s="1078">
        <f>5800000000+1700000000+9000000000</f>
        <v>16500000000</v>
      </c>
      <c r="N99" s="997"/>
      <c r="O99" s="997"/>
      <c r="P99" s="178"/>
      <c r="Q99" s="585"/>
      <c r="R99" s="178"/>
    </row>
    <row r="100" spans="2:19" s="113" customFormat="1" ht="15" customHeight="1" x14ac:dyDescent="0.25">
      <c r="B100" s="726"/>
      <c r="C100" s="127"/>
      <c r="D100" s="128"/>
      <c r="E100" s="115"/>
      <c r="F100" s="130" t="s">
        <v>46</v>
      </c>
      <c r="G100" s="201" t="s">
        <v>140</v>
      </c>
      <c r="H100" s="602"/>
      <c r="I100" s="116" t="s">
        <v>111</v>
      </c>
      <c r="J100" s="635">
        <v>7500000000</v>
      </c>
      <c r="K100" s="635">
        <v>7500000000</v>
      </c>
      <c r="L100" s="635">
        <v>7500000000</v>
      </c>
      <c r="M100" s="177">
        <v>7500000000</v>
      </c>
      <c r="N100" s="178"/>
      <c r="O100" s="178"/>
      <c r="P100" s="178"/>
      <c r="Q100" s="585"/>
      <c r="R100" s="178"/>
    </row>
    <row r="101" spans="2:19" s="192" customFormat="1" ht="15" customHeight="1" x14ac:dyDescent="0.25">
      <c r="B101" s="267"/>
      <c r="C101" s="183"/>
      <c r="D101" s="184"/>
      <c r="E101" s="185"/>
      <c r="F101" s="186"/>
      <c r="G101" s="202" t="s">
        <v>138</v>
      </c>
      <c r="H101" s="603"/>
      <c r="I101" s="203"/>
      <c r="J101" s="636">
        <v>500000000</v>
      </c>
      <c r="K101" s="636">
        <v>500000000</v>
      </c>
      <c r="L101" s="636">
        <v>500000000</v>
      </c>
      <c r="M101" s="190">
        <v>500000000</v>
      </c>
      <c r="N101" s="191"/>
      <c r="O101" s="191"/>
      <c r="P101" s="191"/>
      <c r="Q101" s="587" t="s">
        <v>143</v>
      </c>
      <c r="R101" s="191">
        <v>500000000</v>
      </c>
      <c r="S101" s="192" t="s">
        <v>143</v>
      </c>
    </row>
    <row r="102" spans="2:19" s="113" customFormat="1" ht="31.5" customHeight="1" x14ac:dyDescent="0.25">
      <c r="B102" s="59"/>
      <c r="C102" s="598"/>
      <c r="D102" s="599"/>
      <c r="E102" s="697" t="s">
        <v>442</v>
      </c>
      <c r="F102" s="1546" t="s">
        <v>145</v>
      </c>
      <c r="G102" s="1547"/>
      <c r="H102" s="707" t="s">
        <v>146</v>
      </c>
      <c r="I102" s="699" t="s">
        <v>113</v>
      </c>
      <c r="J102" s="708">
        <f>SUM(J103:J111)</f>
        <v>21200000000</v>
      </c>
      <c r="K102" s="708">
        <f>SUM(K103:K111)</f>
        <v>26200000000</v>
      </c>
      <c r="L102" s="708">
        <f>SUM(L103:L111)</f>
        <v>22200000000</v>
      </c>
      <c r="M102" s="709">
        <f>SUM(M103:M111)</f>
        <v>27200000000</v>
      </c>
      <c r="N102" s="998"/>
      <c r="O102" s="998"/>
      <c r="P102" s="112"/>
      <c r="Q102" s="585"/>
      <c r="R102" s="112"/>
    </row>
    <row r="103" spans="2:19" s="113" customFormat="1" ht="15.75" customHeight="1" x14ac:dyDescent="0.25">
      <c r="B103" s="59"/>
      <c r="C103" s="127"/>
      <c r="D103" s="128"/>
      <c r="E103" s="115"/>
      <c r="F103" s="130" t="s">
        <v>46</v>
      </c>
      <c r="G103" s="175" t="s">
        <v>147</v>
      </c>
      <c r="H103" s="602"/>
      <c r="I103" s="176" t="s">
        <v>111</v>
      </c>
      <c r="J103" s="1077">
        <v>5000000000</v>
      </c>
      <c r="K103" s="1077">
        <f>5000000000+500000000</f>
        <v>5500000000</v>
      </c>
      <c r="L103" s="1077">
        <v>5000000000</v>
      </c>
      <c r="M103" s="1078">
        <f>5000000000+500000000</f>
        <v>5500000000</v>
      </c>
      <c r="N103" s="178"/>
      <c r="O103" s="178"/>
      <c r="P103" s="178"/>
      <c r="Q103" s="585"/>
      <c r="R103" s="178"/>
    </row>
    <row r="104" spans="2:19" s="113" customFormat="1" ht="15.75" customHeight="1" x14ac:dyDescent="0.25">
      <c r="B104" s="59"/>
      <c r="C104" s="127"/>
      <c r="D104" s="128"/>
      <c r="E104" s="115"/>
      <c r="F104" s="130" t="s">
        <v>46</v>
      </c>
      <c r="G104" s="175" t="s">
        <v>149</v>
      </c>
      <c r="H104" s="602"/>
      <c r="I104" s="176" t="s">
        <v>142</v>
      </c>
      <c r="J104" s="635">
        <v>6000000000</v>
      </c>
      <c r="K104" s="635">
        <v>6000000000</v>
      </c>
      <c r="L104" s="635">
        <v>6000000000</v>
      </c>
      <c r="M104" s="177">
        <v>6000000000</v>
      </c>
      <c r="N104" s="178"/>
      <c r="O104" s="178"/>
      <c r="P104" s="178"/>
      <c r="Q104" s="585"/>
      <c r="R104" s="178"/>
    </row>
    <row r="105" spans="2:19" s="113" customFormat="1" x14ac:dyDescent="0.25">
      <c r="B105" s="59"/>
      <c r="C105" s="127"/>
      <c r="D105" s="128"/>
      <c r="E105" s="115"/>
      <c r="F105" s="174" t="s">
        <v>46</v>
      </c>
      <c r="G105" s="175" t="s">
        <v>150</v>
      </c>
      <c r="H105" s="602"/>
      <c r="I105" s="176" t="s">
        <v>399</v>
      </c>
      <c r="J105" s="635">
        <v>3000000000</v>
      </c>
      <c r="K105" s="635">
        <v>3000000000</v>
      </c>
      <c r="L105" s="635">
        <v>3000000000</v>
      </c>
      <c r="M105" s="177">
        <v>3000000000</v>
      </c>
      <c r="N105" s="178"/>
      <c r="O105" s="178"/>
      <c r="P105" s="178"/>
      <c r="Q105" s="585"/>
      <c r="R105" s="178"/>
    </row>
    <row r="106" spans="2:19" s="113" customFormat="1" ht="15.75" customHeight="1" x14ac:dyDescent="0.25">
      <c r="B106" s="703"/>
      <c r="C106" s="127"/>
      <c r="D106" s="128"/>
      <c r="E106" s="129"/>
      <c r="F106" s="706" t="s">
        <v>46</v>
      </c>
      <c r="G106" s="175" t="s">
        <v>394</v>
      </c>
      <c r="H106" s="602"/>
      <c r="I106" s="176" t="s">
        <v>174</v>
      </c>
      <c r="J106" s="1077">
        <v>0</v>
      </c>
      <c r="K106" s="1077">
        <f>4500000000</f>
        <v>4500000000</v>
      </c>
      <c r="L106" s="1077">
        <v>500000000</v>
      </c>
      <c r="M106" s="1078">
        <f>500000000+4500000000</f>
        <v>5000000000</v>
      </c>
      <c r="N106" s="997"/>
      <c r="O106" s="997"/>
      <c r="P106" s="178"/>
      <c r="Q106" s="585"/>
      <c r="R106" s="178"/>
    </row>
    <row r="107" spans="2:19" s="113" customFormat="1" ht="15.75" customHeight="1" x14ac:dyDescent="0.25">
      <c r="B107" s="703"/>
      <c r="C107" s="127"/>
      <c r="D107" s="128"/>
      <c r="E107" s="129"/>
      <c r="F107" s="706" t="s">
        <v>46</v>
      </c>
      <c r="G107" s="175" t="s">
        <v>484</v>
      </c>
      <c r="H107" s="602"/>
      <c r="I107" s="176" t="s">
        <v>399</v>
      </c>
      <c r="J107" s="635">
        <v>0</v>
      </c>
      <c r="K107" s="635">
        <v>0</v>
      </c>
      <c r="L107" s="1018">
        <v>500000000</v>
      </c>
      <c r="M107" s="702">
        <v>500000000</v>
      </c>
      <c r="N107" s="997"/>
      <c r="O107" s="997"/>
      <c r="P107" s="178"/>
      <c r="Q107" s="585"/>
      <c r="R107" s="178"/>
    </row>
    <row r="108" spans="2:19" s="192" customFormat="1" ht="15.75" customHeight="1" x14ac:dyDescent="0.25">
      <c r="B108" s="182"/>
      <c r="C108" s="183"/>
      <c r="D108" s="184"/>
      <c r="E108" s="206"/>
      <c r="F108" s="207" t="s">
        <v>46</v>
      </c>
      <c r="G108" s="208" t="s">
        <v>394</v>
      </c>
      <c r="H108" s="603"/>
      <c r="I108" s="189" t="s">
        <v>174</v>
      </c>
      <c r="J108" s="636">
        <v>1000000000</v>
      </c>
      <c r="K108" s="636">
        <v>1000000000</v>
      </c>
      <c r="L108" s="636">
        <v>1000000000</v>
      </c>
      <c r="M108" s="190">
        <v>1000000000</v>
      </c>
      <c r="N108" s="191"/>
      <c r="O108" s="191"/>
      <c r="P108" s="191"/>
      <c r="Q108" s="587" t="s">
        <v>151</v>
      </c>
      <c r="R108" s="191">
        <v>1000000000</v>
      </c>
      <c r="S108" s="192" t="s">
        <v>151</v>
      </c>
    </row>
    <row r="109" spans="2:19" s="192" customFormat="1" ht="15.75" customHeight="1" x14ac:dyDescent="0.25">
      <c r="B109" s="182"/>
      <c r="C109" s="183"/>
      <c r="D109" s="184"/>
      <c r="E109" s="206"/>
      <c r="F109" s="207" t="s">
        <v>46</v>
      </c>
      <c r="G109" s="208" t="s">
        <v>152</v>
      </c>
      <c r="H109" s="603"/>
      <c r="I109" s="189" t="s">
        <v>399</v>
      </c>
      <c r="J109" s="636">
        <f>1000000000</f>
        <v>1000000000</v>
      </c>
      <c r="K109" s="636">
        <f>1000000000</f>
        <v>1000000000</v>
      </c>
      <c r="L109" s="636">
        <f>1000000000</f>
        <v>1000000000</v>
      </c>
      <c r="M109" s="190">
        <f>1000000000</f>
        <v>1000000000</v>
      </c>
      <c r="N109" s="191"/>
      <c r="O109" s="191"/>
      <c r="P109" s="191"/>
      <c r="Q109" s="587" t="s">
        <v>151</v>
      </c>
      <c r="R109" s="191">
        <v>1000000000</v>
      </c>
      <c r="S109" s="192" t="s">
        <v>151</v>
      </c>
    </row>
    <row r="110" spans="2:19" s="192" customFormat="1" ht="15.75" customHeight="1" x14ac:dyDescent="0.25">
      <c r="B110" s="182"/>
      <c r="C110" s="183"/>
      <c r="D110" s="184"/>
      <c r="E110" s="206"/>
      <c r="F110" s="207" t="s">
        <v>46</v>
      </c>
      <c r="G110" s="208" t="s">
        <v>152</v>
      </c>
      <c r="H110" s="603"/>
      <c r="I110" s="189" t="s">
        <v>399</v>
      </c>
      <c r="J110" s="636">
        <f>2000000000</f>
        <v>2000000000</v>
      </c>
      <c r="K110" s="636">
        <f>2000000000</f>
        <v>2000000000</v>
      </c>
      <c r="L110" s="636">
        <f>2000000000</f>
        <v>2000000000</v>
      </c>
      <c r="M110" s="190">
        <f>2000000000</f>
        <v>2000000000</v>
      </c>
      <c r="N110" s="191"/>
      <c r="O110" s="191"/>
      <c r="P110" s="191"/>
      <c r="Q110" s="587" t="s">
        <v>425</v>
      </c>
      <c r="R110" s="191">
        <v>2000000000</v>
      </c>
      <c r="S110" s="192" t="s">
        <v>425</v>
      </c>
    </row>
    <row r="111" spans="2:19" s="192" customFormat="1" ht="15.75" customHeight="1" x14ac:dyDescent="0.25">
      <c r="B111" s="182"/>
      <c r="C111" s="183"/>
      <c r="D111" s="184"/>
      <c r="E111" s="206"/>
      <c r="F111" s="207" t="s">
        <v>46</v>
      </c>
      <c r="G111" s="208" t="s">
        <v>153</v>
      </c>
      <c r="H111" s="603"/>
      <c r="I111" s="189" t="s">
        <v>399</v>
      </c>
      <c r="J111" s="636">
        <v>3200000000</v>
      </c>
      <c r="K111" s="636">
        <v>3200000000</v>
      </c>
      <c r="L111" s="636">
        <v>3200000000</v>
      </c>
      <c r="M111" s="190">
        <v>3200000000</v>
      </c>
      <c r="N111" s="191"/>
      <c r="O111" s="191"/>
      <c r="P111" s="191"/>
      <c r="Q111" s="587" t="s">
        <v>154</v>
      </c>
      <c r="R111" s="191">
        <v>3200000000</v>
      </c>
      <c r="S111" s="192" t="s">
        <v>154</v>
      </c>
    </row>
    <row r="112" spans="2:19" s="62" customFormat="1" ht="26.25" customHeight="1" x14ac:dyDescent="0.25">
      <c r="B112" s="59"/>
      <c r="C112" s="39"/>
      <c r="D112" s="109"/>
      <c r="E112" s="88" t="s">
        <v>443</v>
      </c>
      <c r="F112" s="1579" t="s">
        <v>155</v>
      </c>
      <c r="G112" s="1580"/>
      <c r="H112" s="173" t="s">
        <v>156</v>
      </c>
      <c r="I112" s="200" t="s">
        <v>141</v>
      </c>
      <c r="J112" s="626">
        <f>SUM(J113:J114)</f>
        <v>13500000000</v>
      </c>
      <c r="K112" s="626">
        <f>SUM(K113:K114)</f>
        <v>13500000000</v>
      </c>
      <c r="L112" s="626">
        <f>SUM(L113:L114)</f>
        <v>13500000000</v>
      </c>
      <c r="M112" s="117">
        <f>SUM(M113:M114)</f>
        <v>13500000000</v>
      </c>
      <c r="N112" s="118"/>
      <c r="O112" s="118"/>
      <c r="P112" s="118"/>
      <c r="Q112" s="586"/>
      <c r="R112" s="118"/>
    </row>
    <row r="113" spans="2:19" s="113" customFormat="1" ht="13.5" customHeight="1" x14ac:dyDescent="0.25">
      <c r="B113" s="59"/>
      <c r="C113" s="127"/>
      <c r="D113" s="128"/>
      <c r="E113" s="115"/>
      <c r="F113" s="174" t="s">
        <v>46</v>
      </c>
      <c r="G113" s="175" t="s">
        <v>157</v>
      </c>
      <c r="H113" s="602"/>
      <c r="I113" s="116" t="s">
        <v>111</v>
      </c>
      <c r="J113" s="635">
        <v>7500000000</v>
      </c>
      <c r="K113" s="635">
        <v>7500000000</v>
      </c>
      <c r="L113" s="635">
        <v>7500000000</v>
      </c>
      <c r="M113" s="177">
        <v>7500000000</v>
      </c>
      <c r="N113" s="178"/>
      <c r="O113" s="178"/>
      <c r="P113" s="178"/>
      <c r="Q113" s="585"/>
      <c r="R113" s="178"/>
    </row>
    <row r="114" spans="2:19" s="133" customFormat="1" x14ac:dyDescent="0.25">
      <c r="B114" s="59"/>
      <c r="C114" s="194"/>
      <c r="D114" s="195"/>
      <c r="E114" s="204"/>
      <c r="F114" s="196" t="s">
        <v>46</v>
      </c>
      <c r="G114" s="209" t="s">
        <v>158</v>
      </c>
      <c r="H114" s="605"/>
      <c r="I114" s="205" t="s">
        <v>111</v>
      </c>
      <c r="J114" s="637">
        <v>6000000000</v>
      </c>
      <c r="K114" s="637">
        <v>6000000000</v>
      </c>
      <c r="L114" s="637">
        <v>6000000000</v>
      </c>
      <c r="M114" s="198">
        <v>6000000000</v>
      </c>
      <c r="N114" s="199"/>
      <c r="O114" s="199"/>
      <c r="P114" s="199"/>
      <c r="Q114" s="588"/>
      <c r="R114" s="199"/>
    </row>
    <row r="115" spans="2:19" s="62" customFormat="1" ht="24.75" customHeight="1" x14ac:dyDescent="0.25">
      <c r="B115" s="59"/>
      <c r="C115" s="39"/>
      <c r="D115" s="109"/>
      <c r="E115" s="88" t="s">
        <v>444</v>
      </c>
      <c r="F115" s="1577" t="s">
        <v>160</v>
      </c>
      <c r="G115" s="1578"/>
      <c r="H115" s="165" t="s">
        <v>161</v>
      </c>
      <c r="I115" s="200" t="s">
        <v>400</v>
      </c>
      <c r="J115" s="630">
        <f>SUM(J116:J119)</f>
        <v>14450000000</v>
      </c>
      <c r="K115" s="630">
        <f>SUM(K116:K119)</f>
        <v>14450000000</v>
      </c>
      <c r="L115" s="630">
        <f>SUM(L116:L119)</f>
        <v>14450000000</v>
      </c>
      <c r="M115" s="146">
        <f>SUM(M116:M119)</f>
        <v>14450000000</v>
      </c>
      <c r="N115" s="147"/>
      <c r="O115" s="147"/>
      <c r="P115" s="147"/>
      <c r="Q115" s="586"/>
      <c r="R115" s="118"/>
    </row>
    <row r="116" spans="2:19" s="113" customFormat="1" ht="15.75" customHeight="1" x14ac:dyDescent="0.25">
      <c r="B116" s="59"/>
      <c r="C116" s="127"/>
      <c r="D116" s="128"/>
      <c r="E116" s="448"/>
      <c r="F116" s="174" t="s">
        <v>46</v>
      </c>
      <c r="G116" s="139" t="s">
        <v>162</v>
      </c>
      <c r="H116" s="602"/>
      <c r="I116" s="176" t="s">
        <v>148</v>
      </c>
      <c r="J116" s="635">
        <v>7500000000</v>
      </c>
      <c r="K116" s="635">
        <v>7500000000</v>
      </c>
      <c r="L116" s="635">
        <v>7500000000</v>
      </c>
      <c r="M116" s="177">
        <v>7500000000</v>
      </c>
      <c r="N116" s="178"/>
      <c r="O116" s="178"/>
      <c r="P116" s="178"/>
      <c r="Q116" s="585"/>
      <c r="R116" s="178"/>
    </row>
    <row r="117" spans="2:19" s="113" customFormat="1" ht="15.75" customHeight="1" x14ac:dyDescent="0.25">
      <c r="B117" s="59"/>
      <c r="C117" s="127"/>
      <c r="D117" s="128"/>
      <c r="E117" s="115"/>
      <c r="F117" s="174" t="s">
        <v>46</v>
      </c>
      <c r="G117" s="139" t="s">
        <v>163</v>
      </c>
      <c r="H117" s="602"/>
      <c r="I117" s="176" t="s">
        <v>111</v>
      </c>
      <c r="J117" s="635">
        <v>3000000000</v>
      </c>
      <c r="K117" s="635">
        <v>3000000000</v>
      </c>
      <c r="L117" s="635">
        <v>3000000000</v>
      </c>
      <c r="M117" s="177">
        <v>3000000000</v>
      </c>
      <c r="N117" s="178"/>
      <c r="O117" s="178"/>
      <c r="P117" s="178"/>
      <c r="Q117" s="585"/>
      <c r="R117" s="178"/>
    </row>
    <row r="118" spans="2:19" s="133" customFormat="1" ht="27" customHeight="1" x14ac:dyDescent="0.25">
      <c r="B118" s="59"/>
      <c r="C118" s="194"/>
      <c r="D118" s="195"/>
      <c r="E118" s="204"/>
      <c r="F118" s="210" t="s">
        <v>46</v>
      </c>
      <c r="G118" s="211" t="s">
        <v>164</v>
      </c>
      <c r="H118" s="605"/>
      <c r="I118" s="197" t="s">
        <v>165</v>
      </c>
      <c r="J118" s="637">
        <v>3500000000</v>
      </c>
      <c r="K118" s="637">
        <v>3500000000</v>
      </c>
      <c r="L118" s="637">
        <v>3500000000</v>
      </c>
      <c r="M118" s="198">
        <v>3500000000</v>
      </c>
      <c r="N118" s="199"/>
      <c r="O118" s="199"/>
      <c r="P118" s="199"/>
      <c r="Q118" s="588"/>
      <c r="R118" s="199"/>
    </row>
    <row r="119" spans="2:19" s="192" customFormat="1" ht="18" customHeight="1" x14ac:dyDescent="0.25">
      <c r="B119" s="182"/>
      <c r="C119" s="183"/>
      <c r="D119" s="184"/>
      <c r="E119" s="206"/>
      <c r="F119" s="212"/>
      <c r="G119" s="213" t="s">
        <v>162</v>
      </c>
      <c r="H119" s="603"/>
      <c r="I119" s="189" t="s">
        <v>395</v>
      </c>
      <c r="J119" s="636">
        <v>450000000</v>
      </c>
      <c r="K119" s="636">
        <v>450000000</v>
      </c>
      <c r="L119" s="636">
        <v>450000000</v>
      </c>
      <c r="M119" s="190">
        <v>450000000</v>
      </c>
      <c r="N119" s="191"/>
      <c r="O119" s="191"/>
      <c r="P119" s="191"/>
      <c r="Q119" s="587" t="s">
        <v>166</v>
      </c>
      <c r="R119" s="191">
        <v>450000000</v>
      </c>
      <c r="S119" s="192" t="s">
        <v>166</v>
      </c>
    </row>
    <row r="120" spans="2:19" s="62" customFormat="1" ht="27" customHeight="1" x14ac:dyDescent="0.25">
      <c r="B120" s="59"/>
      <c r="C120" s="598"/>
      <c r="D120" s="599"/>
      <c r="E120" s="697" t="s">
        <v>445</v>
      </c>
      <c r="F120" s="1546" t="s">
        <v>167</v>
      </c>
      <c r="G120" s="1547"/>
      <c r="H120" s="698" t="s">
        <v>168</v>
      </c>
      <c r="I120" s="710" t="s">
        <v>405</v>
      </c>
      <c r="J120" s="711">
        <f>SUM(J121:J125)</f>
        <v>11065000000</v>
      </c>
      <c r="K120" s="711">
        <f>SUM(K121:K125)</f>
        <v>11065000000</v>
      </c>
      <c r="L120" s="711">
        <f>SUM(L121:L125)</f>
        <v>11565000000</v>
      </c>
      <c r="M120" s="712">
        <f>SUM(M121:M125)</f>
        <v>11565000000</v>
      </c>
      <c r="N120" s="999"/>
      <c r="O120" s="999"/>
      <c r="P120" s="147"/>
      <c r="Q120" s="589"/>
      <c r="R120" s="118"/>
      <c r="S120" s="179"/>
    </row>
    <row r="121" spans="2:19" s="113" customFormat="1" x14ac:dyDescent="0.25">
      <c r="B121" s="59"/>
      <c r="C121" s="127"/>
      <c r="D121" s="128"/>
      <c r="E121" s="115"/>
      <c r="F121" s="174" t="s">
        <v>46</v>
      </c>
      <c r="G121" s="175" t="s">
        <v>150</v>
      </c>
      <c r="H121" s="602"/>
      <c r="I121" s="116" t="s">
        <v>159</v>
      </c>
      <c r="J121" s="635">
        <v>4000000000</v>
      </c>
      <c r="K121" s="635">
        <v>4000000000</v>
      </c>
      <c r="L121" s="635">
        <v>4000000000</v>
      </c>
      <c r="M121" s="177">
        <v>4000000000</v>
      </c>
      <c r="N121" s="178"/>
      <c r="O121" s="178"/>
      <c r="P121" s="178"/>
      <c r="Q121" s="585"/>
      <c r="R121" s="178"/>
    </row>
    <row r="122" spans="2:19" s="113" customFormat="1" x14ac:dyDescent="0.25">
      <c r="B122" s="59"/>
      <c r="C122" s="127"/>
      <c r="D122" s="128"/>
      <c r="E122" s="115"/>
      <c r="F122" s="174" t="s">
        <v>46</v>
      </c>
      <c r="G122" s="175" t="s">
        <v>169</v>
      </c>
      <c r="H122" s="602"/>
      <c r="I122" s="116" t="s">
        <v>148</v>
      </c>
      <c r="J122" s="635">
        <v>6000000000</v>
      </c>
      <c r="K122" s="635">
        <v>6000000000</v>
      </c>
      <c r="L122" s="635">
        <v>6000000000</v>
      </c>
      <c r="M122" s="177">
        <v>6000000000</v>
      </c>
      <c r="N122" s="178"/>
      <c r="O122" s="178"/>
      <c r="P122" s="178"/>
      <c r="Q122" s="585"/>
      <c r="R122" s="178"/>
    </row>
    <row r="123" spans="2:19" s="113" customFormat="1" ht="15.75" customHeight="1" x14ac:dyDescent="0.25">
      <c r="B123" s="703"/>
      <c r="C123" s="127"/>
      <c r="D123" s="128"/>
      <c r="E123" s="129"/>
      <c r="F123" s="704" t="s">
        <v>46</v>
      </c>
      <c r="G123" s="175" t="s">
        <v>170</v>
      </c>
      <c r="H123" s="602"/>
      <c r="I123" s="705" t="s">
        <v>401</v>
      </c>
      <c r="J123" s="635">
        <v>0</v>
      </c>
      <c r="K123" s="635">
        <v>0</v>
      </c>
      <c r="L123" s="1018">
        <v>500000000</v>
      </c>
      <c r="M123" s="702">
        <v>500000000</v>
      </c>
      <c r="N123" s="997"/>
      <c r="O123" s="997"/>
      <c r="P123" s="178"/>
      <c r="Q123" s="585"/>
      <c r="R123" s="178"/>
    </row>
    <row r="124" spans="2:19" s="192" customFormat="1" ht="15.75" customHeight="1" x14ac:dyDescent="0.25">
      <c r="B124" s="182"/>
      <c r="C124" s="183"/>
      <c r="D124" s="184"/>
      <c r="E124" s="206"/>
      <c r="F124" s="212" t="s">
        <v>46</v>
      </c>
      <c r="G124" s="208" t="s">
        <v>170</v>
      </c>
      <c r="H124" s="603"/>
      <c r="I124" s="214" t="s">
        <v>401</v>
      </c>
      <c r="J124" s="636">
        <v>850000000</v>
      </c>
      <c r="K124" s="636">
        <v>850000000</v>
      </c>
      <c r="L124" s="636">
        <v>850000000</v>
      </c>
      <c r="M124" s="190">
        <v>850000000</v>
      </c>
      <c r="N124" s="191"/>
      <c r="O124" s="191"/>
      <c r="P124" s="191"/>
      <c r="Q124" s="587" t="s">
        <v>134</v>
      </c>
      <c r="R124" s="191">
        <v>850000000</v>
      </c>
      <c r="S124" s="192" t="s">
        <v>134</v>
      </c>
    </row>
    <row r="125" spans="2:19" s="192" customFormat="1" ht="15.75" customHeight="1" x14ac:dyDescent="0.25">
      <c r="B125" s="182"/>
      <c r="C125" s="183"/>
      <c r="D125" s="184"/>
      <c r="E125" s="206"/>
      <c r="F125" s="212" t="s">
        <v>46</v>
      </c>
      <c r="G125" s="208" t="s">
        <v>150</v>
      </c>
      <c r="H125" s="603"/>
      <c r="I125" s="215" t="s">
        <v>402</v>
      </c>
      <c r="J125" s="636">
        <v>215000000</v>
      </c>
      <c r="K125" s="636">
        <v>215000000</v>
      </c>
      <c r="L125" s="636">
        <v>215000000</v>
      </c>
      <c r="M125" s="190">
        <v>215000000</v>
      </c>
      <c r="N125" s="191"/>
      <c r="O125" s="191"/>
      <c r="P125" s="191"/>
      <c r="Q125" s="587" t="s">
        <v>171</v>
      </c>
      <c r="R125" s="191">
        <v>215000000</v>
      </c>
      <c r="S125" s="192" t="s">
        <v>171</v>
      </c>
    </row>
    <row r="126" spans="2:19" s="62" customFormat="1" ht="31.5" customHeight="1" x14ac:dyDescent="0.25">
      <c r="B126" s="59"/>
      <c r="C126" s="39"/>
      <c r="D126" s="109"/>
      <c r="E126" s="88" t="s">
        <v>446</v>
      </c>
      <c r="F126" s="1577" t="s">
        <v>172</v>
      </c>
      <c r="G126" s="1578"/>
      <c r="H126" s="173" t="s">
        <v>173</v>
      </c>
      <c r="I126" s="200" t="str">
        <f>I127</f>
        <v>0,5 Km</v>
      </c>
      <c r="J126" s="630">
        <f>J127</f>
        <v>3000000000</v>
      </c>
      <c r="K126" s="630">
        <f>K127</f>
        <v>9000000000</v>
      </c>
      <c r="L126" s="630">
        <f>L127</f>
        <v>3000000000</v>
      </c>
      <c r="M126" s="146">
        <f>M127</f>
        <v>9000000000</v>
      </c>
      <c r="N126" s="147"/>
      <c r="O126" s="147"/>
      <c r="P126" s="147"/>
      <c r="Q126" s="586"/>
      <c r="R126" s="118"/>
    </row>
    <row r="127" spans="2:19" s="113" customFormat="1" x14ac:dyDescent="0.25">
      <c r="B127" s="59"/>
      <c r="C127" s="127"/>
      <c r="D127" s="128"/>
      <c r="E127" s="115"/>
      <c r="F127" s="130" t="s">
        <v>46</v>
      </c>
      <c r="G127" s="175" t="s">
        <v>175</v>
      </c>
      <c r="H127" s="602"/>
      <c r="I127" s="176" t="s">
        <v>144</v>
      </c>
      <c r="J127" s="1075">
        <v>3000000000</v>
      </c>
      <c r="K127" s="1075">
        <f>3000000000+6000000000</f>
        <v>9000000000</v>
      </c>
      <c r="L127" s="1075">
        <v>3000000000</v>
      </c>
      <c r="M127" s="1076">
        <f>3000000000+6000000000</f>
        <v>9000000000</v>
      </c>
      <c r="N127" s="126"/>
      <c r="O127" s="126"/>
      <c r="P127" s="126"/>
      <c r="Q127" s="585"/>
      <c r="R127" s="126"/>
    </row>
    <row r="128" spans="2:19" s="113" customFormat="1" ht="29.25" customHeight="1" x14ac:dyDescent="0.25">
      <c r="B128" s="59"/>
      <c r="C128" s="39"/>
      <c r="D128" s="109"/>
      <c r="E128" s="88" t="s">
        <v>447</v>
      </c>
      <c r="F128" s="1577" t="s">
        <v>176</v>
      </c>
      <c r="G128" s="1578"/>
      <c r="H128" s="173" t="s">
        <v>177</v>
      </c>
      <c r="I128" s="200" t="str">
        <f>I129</f>
        <v>0,9 Km</v>
      </c>
      <c r="J128" s="625">
        <f>SUM(J129)</f>
        <v>5000000000</v>
      </c>
      <c r="K128" s="625">
        <f>SUM(K129)</f>
        <v>5000000000</v>
      </c>
      <c r="L128" s="625">
        <f>SUM(L129)</f>
        <v>5000000000</v>
      </c>
      <c r="M128" s="111">
        <f>SUM(M129)</f>
        <v>5000000000</v>
      </c>
      <c r="N128" s="112"/>
      <c r="O128" s="112"/>
      <c r="P128" s="112"/>
      <c r="Q128" s="585"/>
      <c r="R128" s="112"/>
    </row>
    <row r="129" spans="2:21" s="113" customFormat="1" ht="15.75" customHeight="1" x14ac:dyDescent="0.25">
      <c r="B129" s="59"/>
      <c r="C129" s="127"/>
      <c r="D129" s="128"/>
      <c r="E129" s="216"/>
      <c r="F129" s="130" t="s">
        <v>46</v>
      </c>
      <c r="G129" s="175" t="s">
        <v>178</v>
      </c>
      <c r="H129" s="602"/>
      <c r="I129" s="217" t="s">
        <v>396</v>
      </c>
      <c r="J129" s="638">
        <v>5000000000</v>
      </c>
      <c r="K129" s="638">
        <v>5000000000</v>
      </c>
      <c r="L129" s="638">
        <v>5000000000</v>
      </c>
      <c r="M129" s="218">
        <v>5000000000</v>
      </c>
      <c r="N129" s="219"/>
      <c r="O129" s="219"/>
      <c r="P129" s="219"/>
      <c r="Q129" s="585"/>
      <c r="R129" s="493"/>
    </row>
    <row r="130" spans="2:21" s="113" customFormat="1" ht="24" customHeight="1" x14ac:dyDescent="0.25">
      <c r="B130" s="59"/>
      <c r="C130" s="39"/>
      <c r="D130" s="109"/>
      <c r="E130" s="88" t="s">
        <v>389</v>
      </c>
      <c r="F130" s="1577" t="s">
        <v>179</v>
      </c>
      <c r="G130" s="1578"/>
      <c r="H130" s="173" t="s">
        <v>180</v>
      </c>
      <c r="I130" s="200" t="str">
        <f>I131</f>
        <v>1,1 Km</v>
      </c>
      <c r="J130" s="625">
        <f>SUM(J131)</f>
        <v>12000000000</v>
      </c>
      <c r="K130" s="625">
        <f>SUM(K131)</f>
        <v>12000000000</v>
      </c>
      <c r="L130" s="625">
        <f>SUM(L131)</f>
        <v>12000000000</v>
      </c>
      <c r="M130" s="111">
        <f>SUM(M131)</f>
        <v>12000000000</v>
      </c>
      <c r="N130" s="112"/>
      <c r="O130" s="112"/>
      <c r="P130" s="112"/>
      <c r="Q130" s="585"/>
      <c r="R130" s="112"/>
    </row>
    <row r="131" spans="2:21" s="113" customFormat="1" ht="13.5" customHeight="1" x14ac:dyDescent="0.25">
      <c r="B131" s="59"/>
      <c r="C131" s="127"/>
      <c r="D131" s="128"/>
      <c r="E131" s="115"/>
      <c r="F131" s="130" t="s">
        <v>46</v>
      </c>
      <c r="G131" s="220" t="s">
        <v>468</v>
      </c>
      <c r="H131" s="602"/>
      <c r="I131" s="176" t="s">
        <v>406</v>
      </c>
      <c r="J131" s="635">
        <v>12000000000</v>
      </c>
      <c r="K131" s="635">
        <v>12000000000</v>
      </c>
      <c r="L131" s="635">
        <v>12000000000</v>
      </c>
      <c r="M131" s="177">
        <v>12000000000</v>
      </c>
      <c r="N131" s="178"/>
      <c r="O131" s="178"/>
      <c r="P131" s="178"/>
      <c r="Q131" s="585"/>
      <c r="R131" s="178"/>
    </row>
    <row r="132" spans="2:21" s="62" customFormat="1" ht="27.75" customHeight="1" x14ac:dyDescent="0.25">
      <c r="B132" s="59"/>
      <c r="C132" s="39"/>
      <c r="D132" s="109"/>
      <c r="E132" s="88" t="s">
        <v>448</v>
      </c>
      <c r="F132" s="1577" t="s">
        <v>181</v>
      </c>
      <c r="G132" s="1578"/>
      <c r="H132" s="173" t="s">
        <v>182</v>
      </c>
      <c r="I132" s="200" t="s">
        <v>462</v>
      </c>
      <c r="J132" s="626">
        <f>SUM(J133:J136)</f>
        <v>8700000000</v>
      </c>
      <c r="K132" s="626">
        <f>SUM(K133:K136)</f>
        <v>8700000000</v>
      </c>
      <c r="L132" s="626">
        <f>SUM(L133:L136)</f>
        <v>8700000000</v>
      </c>
      <c r="M132" s="117">
        <f>SUM(M133:M136)</f>
        <v>8700000000</v>
      </c>
      <c r="N132" s="118"/>
      <c r="O132" s="118"/>
      <c r="P132" s="118"/>
      <c r="Q132" s="589"/>
      <c r="R132" s="118"/>
      <c r="S132" s="179"/>
    </row>
    <row r="133" spans="2:21" s="113" customFormat="1" x14ac:dyDescent="0.25">
      <c r="B133" s="59"/>
      <c r="C133" s="127"/>
      <c r="D133" s="128"/>
      <c r="E133" s="115"/>
      <c r="F133" s="174" t="s">
        <v>46</v>
      </c>
      <c r="G133" s="175" t="s">
        <v>424</v>
      </c>
      <c r="H133" s="602"/>
      <c r="I133" s="176" t="s">
        <v>451</v>
      </c>
      <c r="J133" s="635">
        <v>3000000000</v>
      </c>
      <c r="K133" s="635">
        <v>3000000000</v>
      </c>
      <c r="L133" s="635">
        <v>3000000000</v>
      </c>
      <c r="M133" s="177">
        <v>3000000000</v>
      </c>
      <c r="N133" s="178"/>
      <c r="O133" s="178"/>
      <c r="P133" s="178"/>
      <c r="Q133" s="585"/>
      <c r="R133" s="178"/>
    </row>
    <row r="134" spans="2:21" s="113" customFormat="1" x14ac:dyDescent="0.25">
      <c r="B134" s="59"/>
      <c r="C134" s="127"/>
      <c r="D134" s="128"/>
      <c r="E134" s="115"/>
      <c r="F134" s="174" t="s">
        <v>46</v>
      </c>
      <c r="G134" s="175" t="s">
        <v>183</v>
      </c>
      <c r="H134" s="602"/>
      <c r="I134" s="483" t="s">
        <v>395</v>
      </c>
      <c r="J134" s="635">
        <v>500000000</v>
      </c>
      <c r="K134" s="635">
        <v>500000000</v>
      </c>
      <c r="L134" s="635">
        <v>500000000</v>
      </c>
      <c r="M134" s="177">
        <v>500000000</v>
      </c>
      <c r="N134" s="178"/>
      <c r="O134" s="178"/>
      <c r="P134" s="178"/>
      <c r="Q134" s="585"/>
      <c r="R134" s="178"/>
    </row>
    <row r="135" spans="2:21" s="192" customFormat="1" x14ac:dyDescent="0.25">
      <c r="B135" s="59"/>
      <c r="C135" s="183"/>
      <c r="D135" s="184"/>
      <c r="E135" s="206"/>
      <c r="F135" s="221" t="s">
        <v>46</v>
      </c>
      <c r="G135" s="208" t="s">
        <v>183</v>
      </c>
      <c r="H135" s="603"/>
      <c r="I135" s="203" t="s">
        <v>159</v>
      </c>
      <c r="J135" s="636">
        <v>4000000000</v>
      </c>
      <c r="K135" s="636">
        <v>4000000000</v>
      </c>
      <c r="L135" s="636">
        <v>4000000000</v>
      </c>
      <c r="M135" s="190">
        <v>4000000000</v>
      </c>
      <c r="N135" s="191"/>
      <c r="O135" s="191"/>
      <c r="P135" s="191"/>
      <c r="Q135" s="587" t="s">
        <v>184</v>
      </c>
      <c r="R135" s="191">
        <v>4000000000</v>
      </c>
      <c r="S135" s="192" t="s">
        <v>184</v>
      </c>
    </row>
    <row r="136" spans="2:21" s="192" customFormat="1" x14ac:dyDescent="0.25">
      <c r="B136" s="182"/>
      <c r="C136" s="183"/>
      <c r="D136" s="184"/>
      <c r="E136" s="222"/>
      <c r="F136" s="223" t="s">
        <v>46</v>
      </c>
      <c r="G136" s="208" t="s">
        <v>183</v>
      </c>
      <c r="H136" s="606"/>
      <c r="I136" s="478" t="s">
        <v>174</v>
      </c>
      <c r="J136" s="636">
        <v>1200000000</v>
      </c>
      <c r="K136" s="636">
        <v>1200000000</v>
      </c>
      <c r="L136" s="636">
        <v>1200000000</v>
      </c>
      <c r="M136" s="190">
        <v>1200000000</v>
      </c>
      <c r="N136" s="191"/>
      <c r="O136" s="191"/>
      <c r="P136" s="191"/>
      <c r="Q136" s="587" t="s">
        <v>185</v>
      </c>
      <c r="R136" s="191">
        <v>1200000000</v>
      </c>
      <c r="S136" s="192" t="s">
        <v>185</v>
      </c>
    </row>
    <row r="137" spans="2:21" s="29" customFormat="1" ht="26.25" customHeight="1" x14ac:dyDescent="0.25">
      <c r="B137" s="13"/>
      <c r="C137" s="39"/>
      <c r="D137" s="109"/>
      <c r="E137" s="88" t="s">
        <v>449</v>
      </c>
      <c r="F137" s="1579" t="s">
        <v>186</v>
      </c>
      <c r="G137" s="1580"/>
      <c r="H137" s="173" t="s">
        <v>187</v>
      </c>
      <c r="I137" s="224" t="s">
        <v>463</v>
      </c>
      <c r="J137" s="630">
        <f>SUM(J138:J141)</f>
        <v>11500000000</v>
      </c>
      <c r="K137" s="630">
        <f>SUM(K138:K141)</f>
        <v>11500000000</v>
      </c>
      <c r="L137" s="630">
        <f>SUM(L138:L141)</f>
        <v>11500000000</v>
      </c>
      <c r="M137" s="146">
        <f>SUM(M138:M141)</f>
        <v>11500000000</v>
      </c>
      <c r="N137" s="147"/>
      <c r="O137" s="147"/>
      <c r="P137" s="147"/>
      <c r="Q137" s="590"/>
      <c r="R137" s="118"/>
    </row>
    <row r="138" spans="2:21" s="113" customFormat="1" ht="15.75" customHeight="1" x14ac:dyDescent="0.25">
      <c r="B138" s="59"/>
      <c r="C138" s="127"/>
      <c r="D138" s="128"/>
      <c r="E138" s="115"/>
      <c r="F138" s="225" t="s">
        <v>46</v>
      </c>
      <c r="G138" s="139" t="s">
        <v>423</v>
      </c>
      <c r="H138" s="602"/>
      <c r="I138" s="176" t="s">
        <v>111</v>
      </c>
      <c r="J138" s="639">
        <v>2000000000</v>
      </c>
      <c r="K138" s="639">
        <v>2000000000</v>
      </c>
      <c r="L138" s="639">
        <v>2000000000</v>
      </c>
      <c r="M138" s="226">
        <v>2000000000</v>
      </c>
      <c r="N138" s="227"/>
      <c r="O138" s="227"/>
      <c r="P138" s="227"/>
      <c r="Q138" s="585"/>
      <c r="R138" s="126"/>
    </row>
    <row r="139" spans="2:21" s="113" customFormat="1" ht="15" customHeight="1" x14ac:dyDescent="0.25">
      <c r="B139" s="59"/>
      <c r="C139" s="127"/>
      <c r="D139" s="128"/>
      <c r="E139" s="115"/>
      <c r="F139" s="130" t="s">
        <v>46</v>
      </c>
      <c r="G139" s="201" t="s">
        <v>140</v>
      </c>
      <c r="H139" s="602"/>
      <c r="I139" s="116" t="s">
        <v>141</v>
      </c>
      <c r="J139" s="635">
        <v>7500000000</v>
      </c>
      <c r="K139" s="635">
        <v>7500000000</v>
      </c>
      <c r="L139" s="635">
        <v>7500000000</v>
      </c>
      <c r="M139" s="177">
        <v>7500000000</v>
      </c>
      <c r="N139" s="178"/>
      <c r="O139" s="178"/>
      <c r="P139" s="178"/>
      <c r="Q139" s="585"/>
      <c r="R139" s="178"/>
    </row>
    <row r="140" spans="2:21" s="192" customFormat="1" ht="15" customHeight="1" x14ac:dyDescent="0.25">
      <c r="B140" s="182"/>
      <c r="C140" s="183"/>
      <c r="D140" s="184"/>
      <c r="E140" s="185"/>
      <c r="F140" s="186"/>
      <c r="G140" s="202" t="s">
        <v>188</v>
      </c>
      <c r="H140" s="603"/>
      <c r="I140" s="203" t="s">
        <v>144</v>
      </c>
      <c r="J140" s="636">
        <f t="shared" ref="J140:M141" si="1">1000000000</f>
        <v>1000000000</v>
      </c>
      <c r="K140" s="636">
        <f t="shared" si="1"/>
        <v>1000000000</v>
      </c>
      <c r="L140" s="636">
        <f t="shared" si="1"/>
        <v>1000000000</v>
      </c>
      <c r="M140" s="190">
        <f t="shared" si="1"/>
        <v>1000000000</v>
      </c>
      <c r="N140" s="191"/>
      <c r="O140" s="191"/>
      <c r="P140" s="191"/>
      <c r="Q140" s="587" t="s">
        <v>421</v>
      </c>
      <c r="R140" s="191">
        <v>1000000000</v>
      </c>
      <c r="S140" s="192" t="s">
        <v>421</v>
      </c>
    </row>
    <row r="141" spans="2:21" s="192" customFormat="1" ht="15" customHeight="1" x14ac:dyDescent="0.25">
      <c r="B141" s="182"/>
      <c r="C141" s="183"/>
      <c r="D141" s="184"/>
      <c r="E141" s="185"/>
      <c r="F141" s="186"/>
      <c r="G141" s="202" t="s">
        <v>188</v>
      </c>
      <c r="H141" s="603"/>
      <c r="I141" s="203" t="s">
        <v>144</v>
      </c>
      <c r="J141" s="636">
        <f t="shared" si="1"/>
        <v>1000000000</v>
      </c>
      <c r="K141" s="636">
        <f t="shared" si="1"/>
        <v>1000000000</v>
      </c>
      <c r="L141" s="636">
        <f t="shared" si="1"/>
        <v>1000000000</v>
      </c>
      <c r="M141" s="190">
        <f t="shared" si="1"/>
        <v>1000000000</v>
      </c>
      <c r="N141" s="191"/>
      <c r="O141" s="191"/>
      <c r="P141" s="191"/>
      <c r="Q141" s="587" t="s">
        <v>422</v>
      </c>
      <c r="R141" s="191">
        <v>1000000000</v>
      </c>
      <c r="S141" s="192" t="s">
        <v>422</v>
      </c>
    </row>
    <row r="142" spans="2:21" ht="3.75" customHeight="1" x14ac:dyDescent="0.25">
      <c r="C142" s="471"/>
      <c r="D142" s="375"/>
      <c r="E142" s="96"/>
      <c r="F142" s="472"/>
      <c r="G142" s="473"/>
      <c r="H142" s="474"/>
      <c r="I142" s="475"/>
      <c r="J142" s="640"/>
      <c r="K142" s="640"/>
      <c r="L142" s="640"/>
      <c r="M142" s="476"/>
      <c r="N142" s="1000"/>
      <c r="O142" s="1000"/>
      <c r="P142" s="228"/>
      <c r="Q142" s="594"/>
      <c r="R142" s="494"/>
      <c r="S142" s="229"/>
      <c r="U142" s="230"/>
    </row>
    <row r="143" spans="2:21" s="15" customFormat="1" ht="22.5" customHeight="1" x14ac:dyDescent="0.25">
      <c r="B143" s="13"/>
      <c r="C143" s="1506" t="s">
        <v>452</v>
      </c>
      <c r="D143" s="1507"/>
      <c r="E143" s="1558" t="s">
        <v>189</v>
      </c>
      <c r="F143" s="1559"/>
      <c r="G143" s="1560"/>
      <c r="H143" s="231" t="s">
        <v>190</v>
      </c>
      <c r="I143" s="232"/>
      <c r="J143" s="641">
        <f>J144+J145+J146+J147+J151+J152+J153+J154+J155+J156+J157+J161+J162+J163+J164+J165+J166+J167</f>
        <v>61485840000</v>
      </c>
      <c r="K143" s="641">
        <f>K144+K145+K146+K147+K151+K152+K153+K154+K155+K156+K157+K161+K162+K163+K164+K165+K166+K167</f>
        <v>61485840000</v>
      </c>
      <c r="L143" s="641">
        <f>L144+L145+L146+L147+L151+L152+L153+L154+L155+L156+L157+L161+L162+L163+L164+L165+L166+L167</f>
        <v>58285840000</v>
      </c>
      <c r="M143" s="233">
        <f>M144+M145+M146+M147+M151+M152+M153+M154+M155+M156+M157+M161+M162+M163+M164+M165+M166+M167</f>
        <v>58285840000</v>
      </c>
      <c r="N143" s="1001"/>
      <c r="O143" s="1001"/>
      <c r="P143" s="26"/>
      <c r="Q143" s="596"/>
      <c r="R143" s="495"/>
      <c r="S143" s="234"/>
      <c r="T143" s="21"/>
    </row>
    <row r="144" spans="2:21" s="29" customFormat="1" ht="18" customHeight="1" x14ac:dyDescent="0.25">
      <c r="B144" s="13"/>
      <c r="C144" s="49"/>
      <c r="D144" s="79"/>
      <c r="E144" s="77" t="s">
        <v>5</v>
      </c>
      <c r="F144" s="1575" t="s">
        <v>191</v>
      </c>
      <c r="G144" s="1576"/>
      <c r="H144" s="235" t="s">
        <v>192</v>
      </c>
      <c r="I144" s="236" t="s">
        <v>471</v>
      </c>
      <c r="J144" s="642">
        <v>2135760000</v>
      </c>
      <c r="K144" s="642">
        <v>2135760000</v>
      </c>
      <c r="L144" s="642">
        <v>2135760000</v>
      </c>
      <c r="M144" s="237">
        <v>2135760000</v>
      </c>
      <c r="N144" s="238"/>
      <c r="O144" s="238"/>
      <c r="P144" s="238"/>
      <c r="Q144" s="595"/>
      <c r="R144" s="496"/>
      <c r="S144" s="148"/>
    </row>
    <row r="145" spans="2:21" s="29" customFormat="1" ht="21" customHeight="1" x14ac:dyDescent="0.25">
      <c r="B145" s="13"/>
      <c r="C145" s="49"/>
      <c r="D145" s="79"/>
      <c r="E145" s="77" t="s">
        <v>10</v>
      </c>
      <c r="F145" s="1569" t="s">
        <v>193</v>
      </c>
      <c r="G145" s="1570"/>
      <c r="H145" s="235" t="s">
        <v>194</v>
      </c>
      <c r="I145" s="236" t="s">
        <v>403</v>
      </c>
      <c r="J145" s="642">
        <v>2422200000</v>
      </c>
      <c r="K145" s="642">
        <v>2422200000</v>
      </c>
      <c r="L145" s="642">
        <v>2422200000</v>
      </c>
      <c r="M145" s="237">
        <v>2422200000</v>
      </c>
      <c r="N145" s="238"/>
      <c r="O145" s="238"/>
      <c r="P145" s="238"/>
      <c r="Q145" s="591"/>
      <c r="R145" s="496"/>
      <c r="S145" s="63"/>
      <c r="T145" s="28"/>
    </row>
    <row r="146" spans="2:21" s="29" customFormat="1" ht="24.75" customHeight="1" x14ac:dyDescent="0.25">
      <c r="B146" s="13"/>
      <c r="C146" s="39"/>
      <c r="D146" s="140"/>
      <c r="E146" s="109" t="s">
        <v>13</v>
      </c>
      <c r="F146" s="1569" t="s">
        <v>195</v>
      </c>
      <c r="G146" s="1570"/>
      <c r="H146" s="239" t="s">
        <v>196</v>
      </c>
      <c r="I146" s="240" t="s">
        <v>472</v>
      </c>
      <c r="J146" s="643">
        <v>2632740000</v>
      </c>
      <c r="K146" s="643">
        <v>2632740000</v>
      </c>
      <c r="L146" s="643">
        <v>2632740000</v>
      </c>
      <c r="M146" s="241">
        <v>2632740000</v>
      </c>
      <c r="N146" s="238"/>
      <c r="O146" s="238"/>
      <c r="P146" s="238"/>
      <c r="Q146" s="591"/>
      <c r="R146" s="496"/>
      <c r="S146" s="63"/>
      <c r="T146" s="242"/>
    </row>
    <row r="147" spans="2:21" s="29" customFormat="1" ht="29.25" customHeight="1" x14ac:dyDescent="0.25">
      <c r="B147" s="13"/>
      <c r="C147" s="39"/>
      <c r="D147" s="140"/>
      <c r="E147" s="109" t="s">
        <v>16</v>
      </c>
      <c r="F147" s="1569" t="s">
        <v>197</v>
      </c>
      <c r="G147" s="1570"/>
      <c r="H147" s="239" t="s">
        <v>198</v>
      </c>
      <c r="I147" s="240" t="s">
        <v>199</v>
      </c>
      <c r="J147" s="643">
        <f>SUM(J148:J150)</f>
        <v>3884440000</v>
      </c>
      <c r="K147" s="643">
        <f>SUM(K148:K150)</f>
        <v>3884440000</v>
      </c>
      <c r="L147" s="643">
        <f>SUM(L148:L150)</f>
        <v>3884440000</v>
      </c>
      <c r="M147" s="241">
        <f>SUM(M148:M150)</f>
        <v>3884440000</v>
      </c>
      <c r="N147" s="238"/>
      <c r="O147" s="238"/>
      <c r="P147" s="238"/>
      <c r="Q147" s="589"/>
      <c r="R147" s="496"/>
      <c r="S147" s="179"/>
    </row>
    <row r="148" spans="2:21" s="306" customFormat="1" ht="16.5" customHeight="1" x14ac:dyDescent="0.25">
      <c r="B148" s="461"/>
      <c r="C148" s="462"/>
      <c r="D148" s="463"/>
      <c r="E148" s="341"/>
      <c r="F148" s="464" t="s">
        <v>46</v>
      </c>
      <c r="G148" s="460" t="s">
        <v>197</v>
      </c>
      <c r="H148" s="465"/>
      <c r="I148" s="466"/>
      <c r="J148" s="644">
        <v>2684440000</v>
      </c>
      <c r="K148" s="644">
        <v>2684440000</v>
      </c>
      <c r="L148" s="644">
        <v>2684440000</v>
      </c>
      <c r="M148" s="467">
        <v>2684440000</v>
      </c>
      <c r="N148" s="1002"/>
      <c r="O148" s="1002"/>
      <c r="P148" s="468"/>
      <c r="Q148" s="585"/>
      <c r="R148" s="497"/>
      <c r="S148" s="113"/>
    </row>
    <row r="149" spans="2:21" s="252" customFormat="1" ht="29.25" customHeight="1" x14ac:dyDescent="0.25">
      <c r="B149" s="243"/>
      <c r="C149" s="244"/>
      <c r="D149" s="245"/>
      <c r="E149" s="246"/>
      <c r="F149" s="247" t="s">
        <v>46</v>
      </c>
      <c r="G149" s="248" t="s">
        <v>337</v>
      </c>
      <c r="H149" s="249"/>
      <c r="I149" s="250"/>
      <c r="J149" s="645">
        <v>200000000</v>
      </c>
      <c r="K149" s="645">
        <v>200000000</v>
      </c>
      <c r="L149" s="645">
        <v>200000000</v>
      </c>
      <c r="M149" s="446">
        <v>200000000</v>
      </c>
      <c r="N149" s="1003"/>
      <c r="O149" s="1003"/>
      <c r="P149" s="251"/>
      <c r="Q149" s="587" t="s">
        <v>338</v>
      </c>
      <c r="R149" s="498">
        <v>200000000</v>
      </c>
      <c r="S149" s="192" t="s">
        <v>338</v>
      </c>
    </row>
    <row r="150" spans="2:21" s="252" customFormat="1" ht="25.5" x14ac:dyDescent="0.25">
      <c r="B150" s="243"/>
      <c r="C150" s="253"/>
      <c r="D150" s="184"/>
      <c r="E150" s="254"/>
      <c r="F150" s="255" t="s">
        <v>46</v>
      </c>
      <c r="G150" s="256" t="s">
        <v>200</v>
      </c>
      <c r="H150" s="257"/>
      <c r="I150" s="258"/>
      <c r="J150" s="646">
        <f>1000000000</f>
        <v>1000000000</v>
      </c>
      <c r="K150" s="646">
        <f>1000000000</f>
        <v>1000000000</v>
      </c>
      <c r="L150" s="646">
        <f>1000000000</f>
        <v>1000000000</v>
      </c>
      <c r="M150" s="259">
        <f>1000000000</f>
        <v>1000000000</v>
      </c>
      <c r="N150" s="260"/>
      <c r="O150" s="260"/>
      <c r="P150" s="260"/>
      <c r="Q150" s="592" t="s">
        <v>420</v>
      </c>
      <c r="R150" s="499">
        <v>1000000000</v>
      </c>
      <c r="S150" s="261" t="s">
        <v>420</v>
      </c>
      <c r="U150" s="261"/>
    </row>
    <row r="151" spans="2:21" s="29" customFormat="1" ht="31.5" customHeight="1" x14ac:dyDescent="0.25">
      <c r="B151" s="13"/>
      <c r="C151" s="39"/>
      <c r="D151" s="140"/>
      <c r="E151" s="109" t="s">
        <v>19</v>
      </c>
      <c r="F151" s="1569" t="s">
        <v>391</v>
      </c>
      <c r="G151" s="1570"/>
      <c r="H151" s="239" t="s">
        <v>201</v>
      </c>
      <c r="I151" s="240" t="s">
        <v>474</v>
      </c>
      <c r="J151" s="643">
        <v>2770240000</v>
      </c>
      <c r="K151" s="643">
        <v>2770240000</v>
      </c>
      <c r="L151" s="643">
        <v>2770240000</v>
      </c>
      <c r="M151" s="241">
        <v>2770240000</v>
      </c>
      <c r="N151" s="238"/>
      <c r="O151" s="238"/>
      <c r="P151" s="238"/>
      <c r="Q151" s="526"/>
      <c r="R151" s="496"/>
    </row>
    <row r="152" spans="2:21" s="29" customFormat="1" ht="30.75" customHeight="1" x14ac:dyDescent="0.25">
      <c r="B152" s="13"/>
      <c r="C152" s="39"/>
      <c r="D152" s="140"/>
      <c r="E152" s="109" t="s">
        <v>27</v>
      </c>
      <c r="F152" s="1569" t="s">
        <v>202</v>
      </c>
      <c r="G152" s="1570"/>
      <c r="H152" s="239" t="s">
        <v>203</v>
      </c>
      <c r="I152" s="240" t="s">
        <v>475</v>
      </c>
      <c r="J152" s="643">
        <v>1778480000</v>
      </c>
      <c r="K152" s="643">
        <v>1778480000</v>
      </c>
      <c r="L152" s="643">
        <v>1778480000</v>
      </c>
      <c r="M152" s="241">
        <v>1778480000</v>
      </c>
      <c r="N152" s="238"/>
      <c r="O152" s="238"/>
      <c r="P152" s="238"/>
      <c r="Q152" s="526"/>
      <c r="R152" s="496"/>
    </row>
    <row r="153" spans="2:21" s="29" customFormat="1" ht="18" customHeight="1" x14ac:dyDescent="0.25">
      <c r="B153" s="13"/>
      <c r="C153" s="39"/>
      <c r="D153" s="140"/>
      <c r="E153" s="109" t="s">
        <v>30</v>
      </c>
      <c r="F153" s="1569" t="s">
        <v>204</v>
      </c>
      <c r="G153" s="1570"/>
      <c r="H153" s="239" t="s">
        <v>205</v>
      </c>
      <c r="I153" s="240" t="s">
        <v>476</v>
      </c>
      <c r="J153" s="643">
        <v>2292620000</v>
      </c>
      <c r="K153" s="643">
        <v>2292620000</v>
      </c>
      <c r="L153" s="643">
        <v>2292620000</v>
      </c>
      <c r="M153" s="241">
        <v>2292620000</v>
      </c>
      <c r="N153" s="238"/>
      <c r="O153" s="238"/>
      <c r="P153" s="238"/>
      <c r="Q153" s="526"/>
      <c r="R153" s="496"/>
    </row>
    <row r="154" spans="2:21" s="29" customFormat="1" ht="19.5" customHeight="1" x14ac:dyDescent="0.25">
      <c r="B154" s="13"/>
      <c r="C154" s="39"/>
      <c r="D154" s="140"/>
      <c r="E154" s="109" t="s">
        <v>8</v>
      </c>
      <c r="F154" s="1569" t="s">
        <v>206</v>
      </c>
      <c r="G154" s="1570"/>
      <c r="H154" s="239" t="s">
        <v>207</v>
      </c>
      <c r="I154" s="240" t="s">
        <v>477</v>
      </c>
      <c r="J154" s="643">
        <v>2560360000</v>
      </c>
      <c r="K154" s="643">
        <v>2560360000</v>
      </c>
      <c r="L154" s="643">
        <v>2560360000</v>
      </c>
      <c r="M154" s="241">
        <v>2560360000</v>
      </c>
      <c r="N154" s="238"/>
      <c r="O154" s="238"/>
      <c r="P154" s="238"/>
      <c r="Q154" s="526"/>
      <c r="R154" s="496"/>
    </row>
    <row r="155" spans="2:21" s="29" customFormat="1" ht="31.5" customHeight="1" x14ac:dyDescent="0.25">
      <c r="B155" s="13"/>
      <c r="C155" s="39"/>
      <c r="D155" s="140"/>
      <c r="E155" s="109" t="s">
        <v>22</v>
      </c>
      <c r="F155" s="1569" t="s">
        <v>208</v>
      </c>
      <c r="G155" s="1570"/>
      <c r="H155" s="239" t="s">
        <v>209</v>
      </c>
      <c r="I155" s="240" t="s">
        <v>478</v>
      </c>
      <c r="J155" s="643">
        <v>3006520000</v>
      </c>
      <c r="K155" s="643">
        <v>3006520000</v>
      </c>
      <c r="L155" s="643">
        <v>3006520000</v>
      </c>
      <c r="M155" s="241">
        <v>3006520000</v>
      </c>
      <c r="N155" s="238"/>
      <c r="O155" s="238"/>
      <c r="P155" s="238"/>
      <c r="Q155" s="526"/>
      <c r="R155" s="496"/>
    </row>
    <row r="156" spans="2:21" s="29" customFormat="1" ht="21" customHeight="1" x14ac:dyDescent="0.25">
      <c r="B156" s="13"/>
      <c r="C156" s="39"/>
      <c r="D156" s="140"/>
      <c r="E156" s="109" t="s">
        <v>210</v>
      </c>
      <c r="F156" s="1569" t="s">
        <v>211</v>
      </c>
      <c r="G156" s="1570"/>
      <c r="H156" s="239" t="s">
        <v>212</v>
      </c>
      <c r="I156" s="240" t="s">
        <v>473</v>
      </c>
      <c r="J156" s="643">
        <v>1980000000</v>
      </c>
      <c r="K156" s="643">
        <v>1980000000</v>
      </c>
      <c r="L156" s="643">
        <v>1980000000</v>
      </c>
      <c r="M156" s="241">
        <v>1980000000</v>
      </c>
      <c r="N156" s="238"/>
      <c r="O156" s="238"/>
      <c r="P156" s="238"/>
      <c r="Q156" s="526"/>
      <c r="R156" s="496"/>
    </row>
    <row r="157" spans="2:21" s="29" customFormat="1" ht="27.75" customHeight="1" x14ac:dyDescent="0.25">
      <c r="B157" s="13"/>
      <c r="C157" s="39"/>
      <c r="D157" s="140"/>
      <c r="E157" s="109">
        <v>11</v>
      </c>
      <c r="F157" s="1569" t="s">
        <v>213</v>
      </c>
      <c r="G157" s="1570"/>
      <c r="H157" s="239" t="s">
        <v>214</v>
      </c>
      <c r="I157" s="240" t="s">
        <v>479</v>
      </c>
      <c r="J157" s="643">
        <f>SUM(J158:J160)</f>
        <v>2022480000</v>
      </c>
      <c r="K157" s="643">
        <f>SUM(K158:K160)</f>
        <v>2022480000</v>
      </c>
      <c r="L157" s="643">
        <f>SUM(L158:L160)</f>
        <v>2022480000</v>
      </c>
      <c r="M157" s="241">
        <f>SUM(M158:M160)</f>
        <v>2022480000</v>
      </c>
      <c r="N157" s="238"/>
      <c r="O157" s="238"/>
      <c r="P157" s="238"/>
      <c r="Q157" s="526"/>
      <c r="R157" s="496"/>
    </row>
    <row r="158" spans="2:21" s="113" customFormat="1" ht="25.5" customHeight="1" x14ac:dyDescent="0.2">
      <c r="B158" s="262"/>
      <c r="C158" s="263"/>
      <c r="D158" s="156"/>
      <c r="E158" s="157"/>
      <c r="F158" s="264" t="s">
        <v>46</v>
      </c>
      <c r="G158" s="265" t="s">
        <v>213</v>
      </c>
      <c r="H158" s="132"/>
      <c r="I158" s="266"/>
      <c r="J158" s="635">
        <v>1272480000</v>
      </c>
      <c r="K158" s="635">
        <v>1272480000</v>
      </c>
      <c r="L158" s="635">
        <v>1272480000</v>
      </c>
      <c r="M158" s="177">
        <v>1272480000</v>
      </c>
      <c r="N158" s="178"/>
      <c r="O158" s="178"/>
      <c r="P158" s="178"/>
      <c r="Q158" s="527"/>
      <c r="R158" s="178"/>
    </row>
    <row r="159" spans="2:21" s="113" customFormat="1" ht="14.25" customHeight="1" x14ac:dyDescent="0.2">
      <c r="B159" s="262"/>
      <c r="C159" s="263"/>
      <c r="D159" s="156"/>
      <c r="E159" s="157"/>
      <c r="F159" s="264" t="s">
        <v>46</v>
      </c>
      <c r="G159" s="265" t="s">
        <v>450</v>
      </c>
      <c r="H159" s="132"/>
      <c r="I159" s="266"/>
      <c r="J159" s="635">
        <v>250000000</v>
      </c>
      <c r="K159" s="635">
        <v>250000000</v>
      </c>
      <c r="L159" s="635">
        <v>250000000</v>
      </c>
      <c r="M159" s="177">
        <v>250000000</v>
      </c>
      <c r="N159" s="178"/>
      <c r="O159" s="178"/>
      <c r="P159" s="178"/>
      <c r="Q159" s="527"/>
      <c r="R159" s="178"/>
    </row>
    <row r="160" spans="2:21" s="192" customFormat="1" ht="14.25" customHeight="1" x14ac:dyDescent="0.2">
      <c r="B160" s="267"/>
      <c r="C160" s="268"/>
      <c r="D160" s="254"/>
      <c r="E160" s="269"/>
      <c r="F160" s="255" t="s">
        <v>46</v>
      </c>
      <c r="G160" s="270" t="s">
        <v>450</v>
      </c>
      <c r="H160" s="188"/>
      <c r="I160" s="271"/>
      <c r="J160" s="636">
        <v>500000000</v>
      </c>
      <c r="K160" s="636">
        <v>500000000</v>
      </c>
      <c r="L160" s="636">
        <v>500000000</v>
      </c>
      <c r="M160" s="190">
        <v>500000000</v>
      </c>
      <c r="N160" s="191"/>
      <c r="O160" s="191"/>
      <c r="P160" s="191"/>
      <c r="Q160" s="587" t="s">
        <v>428</v>
      </c>
      <c r="R160" s="191">
        <v>500000000</v>
      </c>
      <c r="S160" s="192" t="s">
        <v>428</v>
      </c>
    </row>
    <row r="161" spans="2:21" s="29" customFormat="1" ht="20.25" customHeight="1" x14ac:dyDescent="0.25">
      <c r="B161" s="13"/>
      <c r="C161" s="39"/>
      <c r="D161" s="140"/>
      <c r="E161" s="109">
        <v>12</v>
      </c>
      <c r="F161" s="1569" t="s">
        <v>215</v>
      </c>
      <c r="G161" s="1570"/>
      <c r="H161" s="239" t="s">
        <v>216</v>
      </c>
      <c r="I161" s="240" t="s">
        <v>217</v>
      </c>
      <c r="J161" s="643">
        <f>500000000+300000000</f>
        <v>800000000</v>
      </c>
      <c r="K161" s="643">
        <f>500000000+300000000</f>
        <v>800000000</v>
      </c>
      <c r="L161" s="643">
        <f>500000000+300000000</f>
        <v>800000000</v>
      </c>
      <c r="M161" s="241">
        <f>500000000+300000000</f>
        <v>800000000</v>
      </c>
      <c r="N161" s="238"/>
      <c r="O161" s="238"/>
      <c r="P161" s="238"/>
      <c r="Q161" s="526"/>
      <c r="R161" s="496"/>
    </row>
    <row r="162" spans="2:21" s="29" customFormat="1" ht="19.5" customHeight="1" x14ac:dyDescent="0.25">
      <c r="B162" s="13"/>
      <c r="C162" s="39"/>
      <c r="D162" s="140"/>
      <c r="E162" s="109">
        <v>13</v>
      </c>
      <c r="F162" s="1569" t="s">
        <v>218</v>
      </c>
      <c r="G162" s="1570"/>
      <c r="H162" s="239" t="s">
        <v>219</v>
      </c>
      <c r="I162" s="240" t="s">
        <v>393</v>
      </c>
      <c r="J162" s="643">
        <v>4000000000</v>
      </c>
      <c r="K162" s="643">
        <v>4000000000</v>
      </c>
      <c r="L162" s="643">
        <v>4000000000</v>
      </c>
      <c r="M162" s="241">
        <v>4000000000</v>
      </c>
      <c r="N162" s="238"/>
      <c r="O162" s="238"/>
      <c r="P162" s="238"/>
      <c r="Q162" s="526"/>
      <c r="R162" s="496"/>
    </row>
    <row r="163" spans="2:21" s="29" customFormat="1" ht="24" customHeight="1" x14ac:dyDescent="0.25">
      <c r="B163" s="13"/>
      <c r="C163" s="598"/>
      <c r="D163" s="599"/>
      <c r="E163" s="684">
        <v>14</v>
      </c>
      <c r="F163" s="1571" t="s">
        <v>229</v>
      </c>
      <c r="G163" s="1572"/>
      <c r="H163" s="689" t="s">
        <v>230</v>
      </c>
      <c r="I163" s="690" t="s">
        <v>111</v>
      </c>
      <c r="J163" s="691">
        <f>2000000000-300000000</f>
        <v>1700000000</v>
      </c>
      <c r="K163" s="691">
        <f>2000000000-300000000</f>
        <v>1700000000</v>
      </c>
      <c r="L163" s="691">
        <v>0</v>
      </c>
      <c r="M163" s="692">
        <v>0</v>
      </c>
      <c r="N163" s="1004"/>
      <c r="O163" s="1004"/>
      <c r="P163" s="238"/>
      <c r="Q163" s="526"/>
      <c r="R163" s="496"/>
    </row>
    <row r="164" spans="2:21" s="29" customFormat="1" ht="16.5" customHeight="1" x14ac:dyDescent="0.25">
      <c r="B164" s="13"/>
      <c r="C164" s="39"/>
      <c r="D164" s="140"/>
      <c r="E164" s="55">
        <v>15</v>
      </c>
      <c r="F164" s="1569" t="s">
        <v>225</v>
      </c>
      <c r="G164" s="1570"/>
      <c r="H164" s="272" t="s">
        <v>226</v>
      </c>
      <c r="I164" s="273" t="s">
        <v>480</v>
      </c>
      <c r="J164" s="647">
        <f t="shared" ref="J164:M165" si="2">11000000000</f>
        <v>11000000000</v>
      </c>
      <c r="K164" s="647">
        <f t="shared" si="2"/>
        <v>11000000000</v>
      </c>
      <c r="L164" s="647">
        <f t="shared" si="2"/>
        <v>11000000000</v>
      </c>
      <c r="M164" s="274">
        <f t="shared" si="2"/>
        <v>11000000000</v>
      </c>
      <c r="N164" s="238"/>
      <c r="O164" s="238"/>
      <c r="P164" s="238"/>
      <c r="Q164" s="526"/>
      <c r="R164" s="496"/>
    </row>
    <row r="165" spans="2:21" s="29" customFormat="1" ht="16.5" customHeight="1" x14ac:dyDescent="0.25">
      <c r="B165" s="13"/>
      <c r="C165" s="39"/>
      <c r="D165" s="140"/>
      <c r="E165" s="55">
        <v>16</v>
      </c>
      <c r="F165" s="1569" t="s">
        <v>227</v>
      </c>
      <c r="G165" s="1570"/>
      <c r="H165" s="272" t="s">
        <v>228</v>
      </c>
      <c r="I165" s="273" t="s">
        <v>480</v>
      </c>
      <c r="J165" s="647">
        <f t="shared" si="2"/>
        <v>11000000000</v>
      </c>
      <c r="K165" s="647">
        <f t="shared" si="2"/>
        <v>11000000000</v>
      </c>
      <c r="L165" s="647">
        <f t="shared" si="2"/>
        <v>11000000000</v>
      </c>
      <c r="M165" s="274">
        <f t="shared" si="2"/>
        <v>11000000000</v>
      </c>
      <c r="N165" s="238"/>
      <c r="O165" s="238"/>
      <c r="P165" s="238"/>
      <c r="Q165" s="526"/>
      <c r="R165" s="496"/>
      <c r="T165" s="396">
        <v>1750000000</v>
      </c>
      <c r="U165" s="29">
        <f>M165/T165</f>
        <v>6.2857142857142856</v>
      </c>
    </row>
    <row r="166" spans="2:21" s="29" customFormat="1" ht="39" customHeight="1" x14ac:dyDescent="0.25">
      <c r="B166" s="13"/>
      <c r="C166" s="39"/>
      <c r="D166" s="140"/>
      <c r="E166" s="55">
        <v>17</v>
      </c>
      <c r="F166" s="1569" t="s">
        <v>223</v>
      </c>
      <c r="G166" s="1570"/>
      <c r="H166" s="272" t="s">
        <v>415</v>
      </c>
      <c r="I166" s="713" t="s">
        <v>224</v>
      </c>
      <c r="J166" s="647">
        <v>4000000000</v>
      </c>
      <c r="K166" s="647">
        <v>4000000000</v>
      </c>
      <c r="L166" s="647">
        <v>4000000000</v>
      </c>
      <c r="M166" s="274">
        <v>4000000000</v>
      </c>
      <c r="N166" s="238"/>
      <c r="O166" s="238"/>
      <c r="P166" s="238"/>
      <c r="Q166" s="540"/>
      <c r="R166" s="496"/>
    </row>
    <row r="167" spans="2:21" s="29" customFormat="1" ht="30" customHeight="1" x14ac:dyDescent="0.25">
      <c r="B167" s="13"/>
      <c r="C167" s="598"/>
      <c r="D167" s="599"/>
      <c r="E167" s="599">
        <v>18</v>
      </c>
      <c r="F167" s="1573" t="s">
        <v>220</v>
      </c>
      <c r="G167" s="1574"/>
      <c r="H167" s="693" t="s">
        <v>221</v>
      </c>
      <c r="I167" s="694" t="s">
        <v>222</v>
      </c>
      <c r="J167" s="695">
        <v>1500000000</v>
      </c>
      <c r="K167" s="695">
        <v>1500000000</v>
      </c>
      <c r="L167" s="695">
        <v>0</v>
      </c>
      <c r="M167" s="696">
        <v>0</v>
      </c>
      <c r="N167" s="1004"/>
      <c r="O167" s="1004"/>
      <c r="P167" s="238"/>
      <c r="Q167" s="526"/>
      <c r="R167" s="496"/>
    </row>
    <row r="168" spans="2:21" ht="4.5" customHeight="1" x14ac:dyDescent="0.25">
      <c r="C168" s="275"/>
      <c r="D168" s="276"/>
      <c r="E168" s="276"/>
      <c r="F168" s="1540"/>
      <c r="G168" s="1541"/>
      <c r="H168" s="279"/>
      <c r="I168" s="280"/>
      <c r="J168" s="648"/>
      <c r="K168" s="648"/>
      <c r="L168" s="648"/>
      <c r="M168" s="281"/>
      <c r="N168" s="993"/>
      <c r="O168" s="993"/>
      <c r="P168" s="101"/>
      <c r="Q168" s="528"/>
      <c r="R168" s="491"/>
    </row>
    <row r="169" spans="2:21" s="15" customFormat="1" ht="32.25" customHeight="1" x14ac:dyDescent="0.25">
      <c r="B169" s="13"/>
      <c r="C169" s="1501" t="s">
        <v>453</v>
      </c>
      <c r="D169" s="1502"/>
      <c r="E169" s="1558" t="s">
        <v>231</v>
      </c>
      <c r="F169" s="1559"/>
      <c r="G169" s="1560"/>
      <c r="H169" s="231" t="s">
        <v>232</v>
      </c>
      <c r="I169" s="282"/>
      <c r="J169" s="649">
        <f>J171+J170+J172</f>
        <v>1850000000</v>
      </c>
      <c r="K169" s="649">
        <f>K171+K170+K172</f>
        <v>1850000000</v>
      </c>
      <c r="L169" s="649">
        <f>L171+L170+L172</f>
        <v>1850000000</v>
      </c>
      <c r="M169" s="283">
        <f>M171+M170+M172</f>
        <v>1850000000</v>
      </c>
      <c r="N169" s="1005"/>
      <c r="O169" s="1005"/>
      <c r="P169" s="104"/>
      <c r="Q169" s="529"/>
      <c r="R169" s="14"/>
      <c r="S169" s="17"/>
    </row>
    <row r="170" spans="2:21" s="29" customFormat="1" ht="16.5" customHeight="1" x14ac:dyDescent="0.25">
      <c r="B170" s="13"/>
      <c r="C170" s="39"/>
      <c r="D170" s="140"/>
      <c r="E170" s="109" t="s">
        <v>5</v>
      </c>
      <c r="F170" s="1567" t="s">
        <v>233</v>
      </c>
      <c r="G170" s="1568"/>
      <c r="H170" s="284" t="s">
        <v>234</v>
      </c>
      <c r="I170" s="285">
        <v>1</v>
      </c>
      <c r="J170" s="650">
        <v>1200000000</v>
      </c>
      <c r="K170" s="650">
        <v>1200000000</v>
      </c>
      <c r="L170" s="650">
        <v>1200000000</v>
      </c>
      <c r="M170" s="286">
        <v>1200000000</v>
      </c>
      <c r="N170" s="1006"/>
      <c r="O170" s="1006"/>
      <c r="P170" s="7"/>
      <c r="Q170" s="530"/>
      <c r="R170" s="986"/>
    </row>
    <row r="171" spans="2:21" s="82" customFormat="1" ht="17.25" customHeight="1" x14ac:dyDescent="0.25">
      <c r="B171" s="59"/>
      <c r="C171" s="39"/>
      <c r="D171" s="140"/>
      <c r="E171" s="109" t="s">
        <v>10</v>
      </c>
      <c r="F171" s="1565" t="s">
        <v>235</v>
      </c>
      <c r="G171" s="1566"/>
      <c r="H171" s="284" t="s">
        <v>234</v>
      </c>
      <c r="I171" s="285">
        <v>1</v>
      </c>
      <c r="J171" s="650">
        <v>350000000</v>
      </c>
      <c r="K171" s="650">
        <v>350000000</v>
      </c>
      <c r="L171" s="650">
        <v>350000000</v>
      </c>
      <c r="M171" s="286">
        <v>350000000</v>
      </c>
      <c r="N171" s="1006"/>
      <c r="O171" s="1006"/>
      <c r="P171" s="7"/>
      <c r="Q171" s="530"/>
      <c r="R171" s="986"/>
      <c r="S171" s="136"/>
    </row>
    <row r="172" spans="2:21" s="29" customFormat="1" ht="27.75" customHeight="1" x14ac:dyDescent="0.25">
      <c r="B172" s="13"/>
      <c r="C172" s="39"/>
      <c r="D172" s="140"/>
      <c r="E172" s="109" t="s">
        <v>13</v>
      </c>
      <c r="F172" s="1550" t="s">
        <v>236</v>
      </c>
      <c r="G172" s="1551"/>
      <c r="H172" s="297" t="s">
        <v>237</v>
      </c>
      <c r="I172" s="477">
        <v>1</v>
      </c>
      <c r="J172" s="650">
        <v>300000000</v>
      </c>
      <c r="K172" s="650">
        <v>300000000</v>
      </c>
      <c r="L172" s="650">
        <v>300000000</v>
      </c>
      <c r="M172" s="286">
        <v>300000000</v>
      </c>
      <c r="N172" s="1006"/>
      <c r="O172" s="1006"/>
      <c r="P172" s="7"/>
      <c r="Q172" s="530"/>
      <c r="R172" s="986"/>
    </row>
    <row r="173" spans="2:21" ht="3" customHeight="1" x14ac:dyDescent="0.25">
      <c r="C173" s="275"/>
      <c r="D173" s="276"/>
      <c r="E173" s="276"/>
      <c r="F173" s="1540"/>
      <c r="G173" s="1541"/>
      <c r="H173" s="279"/>
      <c r="I173" s="289"/>
      <c r="J173" s="651"/>
      <c r="K173" s="651"/>
      <c r="L173" s="651"/>
      <c r="M173" s="290"/>
      <c r="N173" s="1007"/>
      <c r="O173" s="1007"/>
      <c r="Q173" s="531"/>
    </row>
    <row r="174" spans="2:21" s="29" customFormat="1" ht="33.75" customHeight="1" x14ac:dyDescent="0.25">
      <c r="B174" s="13"/>
      <c r="C174" s="1506" t="s">
        <v>454</v>
      </c>
      <c r="D174" s="1507"/>
      <c r="E174" s="1558" t="s">
        <v>238</v>
      </c>
      <c r="F174" s="1559"/>
      <c r="G174" s="1560"/>
      <c r="H174" s="231" t="s">
        <v>239</v>
      </c>
      <c r="I174" s="282"/>
      <c r="J174" s="652">
        <f>J175+J180+J176+J178</f>
        <v>7000000000</v>
      </c>
      <c r="K174" s="652">
        <f>K175+K180+K176+K178</f>
        <v>7000000000</v>
      </c>
      <c r="L174" s="652">
        <f>L175+L180+L176+L178</f>
        <v>7000000000</v>
      </c>
      <c r="M174" s="292">
        <f>M175+M180+M176+M178</f>
        <v>7000000000</v>
      </c>
      <c r="N174" s="1008"/>
      <c r="O174" s="1008"/>
      <c r="P174" s="32"/>
      <c r="Q174" s="529"/>
      <c r="R174" s="486"/>
      <c r="U174" s="145"/>
    </row>
    <row r="175" spans="2:21" s="29" customFormat="1" ht="27.75" customHeight="1" x14ac:dyDescent="0.25">
      <c r="B175" s="13"/>
      <c r="C175" s="39"/>
      <c r="D175" s="140"/>
      <c r="E175" s="77" t="s">
        <v>5</v>
      </c>
      <c r="F175" s="1567" t="s">
        <v>240</v>
      </c>
      <c r="G175" s="1568"/>
      <c r="H175" s="293" t="s">
        <v>241</v>
      </c>
      <c r="I175" s="294">
        <v>1</v>
      </c>
      <c r="J175" s="653">
        <v>500000000</v>
      </c>
      <c r="K175" s="653">
        <v>500000000</v>
      </c>
      <c r="L175" s="653">
        <v>500000000</v>
      </c>
      <c r="M175" s="295">
        <v>500000000</v>
      </c>
      <c r="N175" s="296"/>
      <c r="O175" s="296"/>
      <c r="P175" s="296"/>
      <c r="Q175" s="532"/>
      <c r="R175" s="501"/>
      <c r="U175" s="145"/>
    </row>
    <row r="176" spans="2:21" s="29" customFormat="1" ht="23.25" customHeight="1" x14ac:dyDescent="0.25">
      <c r="B176" s="13"/>
      <c r="C176" s="39"/>
      <c r="D176" s="140"/>
      <c r="E176" s="109" t="s">
        <v>10</v>
      </c>
      <c r="F176" s="1556" t="s">
        <v>242</v>
      </c>
      <c r="G176" s="1557"/>
      <c r="H176" s="297" t="s">
        <v>243</v>
      </c>
      <c r="I176" s="298" t="s">
        <v>244</v>
      </c>
      <c r="J176" s="654">
        <f>SUM(J177:J177)</f>
        <v>300000000</v>
      </c>
      <c r="K176" s="654">
        <f>SUM(K177:K177)</f>
        <v>300000000</v>
      </c>
      <c r="L176" s="654">
        <f>SUM(L177:L177)</f>
        <v>300000000</v>
      </c>
      <c r="M176" s="299">
        <f>SUM(M177:M177)</f>
        <v>300000000</v>
      </c>
      <c r="N176" s="296"/>
      <c r="O176" s="296"/>
      <c r="P176" s="296"/>
      <c r="Q176" s="533"/>
      <c r="R176" s="501"/>
      <c r="U176" s="145"/>
    </row>
    <row r="177" spans="2:21" s="306" customFormat="1" ht="27" customHeight="1" x14ac:dyDescent="0.25">
      <c r="B177" s="13"/>
      <c r="C177" s="300"/>
      <c r="D177" s="156"/>
      <c r="E177" s="156"/>
      <c r="F177" s="301" t="s">
        <v>46</v>
      </c>
      <c r="G177" s="302" t="s">
        <v>245</v>
      </c>
      <c r="H177" s="303"/>
      <c r="I177" s="1" t="s">
        <v>244</v>
      </c>
      <c r="J177" s="655">
        <v>300000000</v>
      </c>
      <c r="K177" s="655">
        <v>300000000</v>
      </c>
      <c r="L177" s="655">
        <v>300000000</v>
      </c>
      <c r="M177" s="304">
        <v>300000000</v>
      </c>
      <c r="N177" s="305"/>
      <c r="O177" s="305"/>
      <c r="P177" s="305"/>
      <c r="Q177" s="534"/>
      <c r="R177" s="502"/>
      <c r="U177" s="307"/>
    </row>
    <row r="178" spans="2:21" s="29" customFormat="1" ht="25.5" customHeight="1" x14ac:dyDescent="0.25">
      <c r="B178" s="13"/>
      <c r="C178" s="39"/>
      <c r="D178" s="140"/>
      <c r="E178" s="109" t="s">
        <v>13</v>
      </c>
      <c r="F178" s="1550" t="s">
        <v>246</v>
      </c>
      <c r="G178" s="1551"/>
      <c r="H178" s="297" t="s">
        <v>247</v>
      </c>
      <c r="I178" s="298" t="s">
        <v>465</v>
      </c>
      <c r="J178" s="654">
        <f>SUM(J179:J179)</f>
        <v>6000000000</v>
      </c>
      <c r="K178" s="654">
        <f>SUM(K179:K179)</f>
        <v>6000000000</v>
      </c>
      <c r="L178" s="654">
        <f>SUM(L179:L179)</f>
        <v>6000000000</v>
      </c>
      <c r="M178" s="299">
        <f>SUM(M179:M179)</f>
        <v>6000000000</v>
      </c>
      <c r="N178" s="296"/>
      <c r="O178" s="296"/>
      <c r="P178" s="296"/>
      <c r="Q178" s="533"/>
      <c r="R178" s="501"/>
      <c r="U178" s="145"/>
    </row>
    <row r="179" spans="2:21" s="306" customFormat="1" ht="24.75" customHeight="1" x14ac:dyDescent="0.25">
      <c r="B179" s="13"/>
      <c r="C179" s="300"/>
      <c r="D179" s="156"/>
      <c r="E179" s="156"/>
      <c r="F179" s="301" t="s">
        <v>46</v>
      </c>
      <c r="G179" s="302" t="s">
        <v>249</v>
      </c>
      <c r="H179" s="303"/>
      <c r="I179" s="1" t="s">
        <v>248</v>
      </c>
      <c r="J179" s="655">
        <v>6000000000</v>
      </c>
      <c r="K179" s="655">
        <v>6000000000</v>
      </c>
      <c r="L179" s="655">
        <v>6000000000</v>
      </c>
      <c r="M179" s="304">
        <v>6000000000</v>
      </c>
      <c r="N179" s="305"/>
      <c r="O179" s="305"/>
      <c r="P179" s="305"/>
      <c r="Q179" s="534"/>
      <c r="R179" s="502"/>
      <c r="U179" s="307"/>
    </row>
    <row r="180" spans="2:21" s="29" customFormat="1" ht="21.75" customHeight="1" x14ac:dyDescent="0.25">
      <c r="B180" s="13"/>
      <c r="C180" s="39"/>
      <c r="D180" s="140"/>
      <c r="E180" s="109" t="s">
        <v>16</v>
      </c>
      <c r="F180" s="1556" t="s">
        <v>250</v>
      </c>
      <c r="G180" s="1557"/>
      <c r="H180" s="297" t="s">
        <v>251</v>
      </c>
      <c r="I180" s="294">
        <v>1</v>
      </c>
      <c r="J180" s="654">
        <v>200000000</v>
      </c>
      <c r="K180" s="654">
        <v>200000000</v>
      </c>
      <c r="L180" s="654">
        <v>200000000</v>
      </c>
      <c r="M180" s="299">
        <v>200000000</v>
      </c>
      <c r="N180" s="296"/>
      <c r="O180" s="296"/>
      <c r="P180" s="296"/>
      <c r="Q180" s="532"/>
      <c r="R180" s="501"/>
      <c r="U180" s="145"/>
    </row>
    <row r="181" spans="2:21" ht="3" customHeight="1" x14ac:dyDescent="0.25">
      <c r="C181" s="275"/>
      <c r="D181" s="276"/>
      <c r="E181" s="276"/>
      <c r="F181" s="310"/>
      <c r="G181" s="287"/>
      <c r="H181" s="288"/>
      <c r="I181" s="311"/>
      <c r="J181" s="656"/>
      <c r="K181" s="656"/>
      <c r="L181" s="656"/>
      <c r="M181" s="312"/>
      <c r="N181" s="1009"/>
      <c r="O181" s="1009"/>
      <c r="P181" s="308"/>
      <c r="Q181" s="535"/>
      <c r="R181" s="503"/>
      <c r="U181" s="230"/>
    </row>
    <row r="182" spans="2:21" s="15" customFormat="1" ht="34.5" customHeight="1" x14ac:dyDescent="0.25">
      <c r="B182" s="13"/>
      <c r="C182" s="1508" t="s">
        <v>455</v>
      </c>
      <c r="D182" s="1509"/>
      <c r="E182" s="1558" t="s">
        <v>252</v>
      </c>
      <c r="F182" s="1559"/>
      <c r="G182" s="1560"/>
      <c r="H182" s="231" t="s">
        <v>253</v>
      </c>
      <c r="I182" s="282"/>
      <c r="J182" s="649">
        <f>J183+J187+J190+J193+J196+J200+J203+J206+J210+J213+J214+J217+J218+J219+J220+J221</f>
        <v>55724570542</v>
      </c>
      <c r="K182" s="649">
        <f>K183+K187+K190+K193+K196+K200+K203+K206+K210+K213+K214+K217+K218+K219+K220+K221</f>
        <v>55724570542</v>
      </c>
      <c r="L182" s="649">
        <f>L183+L187+L190+L193+L196+L200+L203+L206+L210+L213+L214+L217+L218+L219+L220+L221</f>
        <v>54948487571</v>
      </c>
      <c r="M182" s="283">
        <f>M183+M187+M190+M193+M196+M200+M203+M206+M210+M213+M214+M217+M218+M219+M220+M221</f>
        <v>54948487571</v>
      </c>
      <c r="N182" s="1005"/>
      <c r="O182" s="1005"/>
      <c r="P182" s="104"/>
      <c r="Q182" s="529"/>
      <c r="R182" s="14"/>
      <c r="S182" s="16"/>
      <c r="T182" s="21">
        <v>42276082971</v>
      </c>
    </row>
    <row r="183" spans="2:21" s="62" customFormat="1" ht="20.25" customHeight="1" x14ac:dyDescent="0.25">
      <c r="B183" s="59"/>
      <c r="C183" s="313"/>
      <c r="D183" s="314"/>
      <c r="E183" s="315" t="s">
        <v>5</v>
      </c>
      <c r="F183" s="1561" t="s">
        <v>254</v>
      </c>
      <c r="G183" s="1562"/>
      <c r="H183" s="316" t="s">
        <v>255</v>
      </c>
      <c r="I183" s="317"/>
      <c r="J183" s="657">
        <f>SUM(J184:J186)</f>
        <v>26783487571</v>
      </c>
      <c r="K183" s="657">
        <f>SUM(K184:K186)</f>
        <v>26783487571</v>
      </c>
      <c r="L183" s="657">
        <f>SUM(L184:L186)</f>
        <v>26783487571</v>
      </c>
      <c r="M183" s="318">
        <f>SUM(M184:M186)</f>
        <v>26783487571</v>
      </c>
      <c r="N183" s="319"/>
      <c r="O183" s="319"/>
      <c r="P183" s="319"/>
      <c r="Q183" s="541"/>
      <c r="R183" s="504"/>
      <c r="S183" s="63"/>
      <c r="T183" s="1067">
        <v>26783487571</v>
      </c>
    </row>
    <row r="184" spans="2:21" s="113" customFormat="1" ht="17.25" customHeight="1" x14ac:dyDescent="0.25">
      <c r="B184" s="59"/>
      <c r="C184" s="320"/>
      <c r="D184" s="321"/>
      <c r="E184" s="322"/>
      <c r="F184" s="64" t="s">
        <v>46</v>
      </c>
      <c r="G184" s="679" t="s">
        <v>256</v>
      </c>
      <c r="H184" s="544" t="s">
        <v>257</v>
      </c>
      <c r="I184" s="324">
        <v>7.0000000000000007E-2</v>
      </c>
      <c r="J184" s="658">
        <v>26433487571</v>
      </c>
      <c r="K184" s="658">
        <v>26433487571</v>
      </c>
      <c r="L184" s="658">
        <v>26433487571</v>
      </c>
      <c r="M184" s="325">
        <v>26433487571</v>
      </c>
      <c r="N184" s="67"/>
      <c r="O184" s="67"/>
      <c r="P184" s="67"/>
      <c r="Q184" s="542"/>
      <c r="R184" s="490"/>
      <c r="S184" s="151"/>
    </row>
    <row r="185" spans="2:21" s="113" customFormat="1" ht="24" customHeight="1" x14ac:dyDescent="0.2">
      <c r="B185" s="59"/>
      <c r="C185" s="320"/>
      <c r="D185" s="321"/>
      <c r="E185" s="322"/>
      <c r="F185" s="64" t="s">
        <v>46</v>
      </c>
      <c r="G185" s="679" t="s">
        <v>258</v>
      </c>
      <c r="H185" s="326" t="s">
        <v>259</v>
      </c>
      <c r="I185" s="327">
        <v>1</v>
      </c>
      <c r="J185" s="616">
        <v>350000000</v>
      </c>
      <c r="K185" s="616">
        <v>350000000</v>
      </c>
      <c r="L185" s="616">
        <v>350000000</v>
      </c>
      <c r="M185" s="66">
        <v>350000000</v>
      </c>
      <c r="N185" s="67"/>
      <c r="O185" s="67"/>
      <c r="P185" s="67"/>
      <c r="Q185" s="514"/>
      <c r="R185" s="490"/>
      <c r="S185" s="151"/>
    </row>
    <row r="186" spans="2:21" s="113" customFormat="1" ht="15.75" hidden="1" customHeight="1" x14ac:dyDescent="0.2">
      <c r="B186" s="59"/>
      <c r="C186" s="320"/>
      <c r="D186" s="321"/>
      <c r="E186" s="322"/>
      <c r="F186" s="64" t="s">
        <v>46</v>
      </c>
      <c r="G186" s="323" t="s">
        <v>260</v>
      </c>
      <c r="H186" s="328" t="s">
        <v>470</v>
      </c>
      <c r="I186" s="327">
        <v>1</v>
      </c>
      <c r="J186" s="658">
        <v>0</v>
      </c>
      <c r="K186" s="658">
        <v>0</v>
      </c>
      <c r="L186" s="658"/>
      <c r="M186" s="325"/>
      <c r="N186" s="67"/>
      <c r="O186" s="67"/>
      <c r="P186" s="67"/>
      <c r="Q186" s="514"/>
      <c r="R186" s="490"/>
      <c r="S186" s="151"/>
    </row>
    <row r="187" spans="2:21" s="62" customFormat="1" ht="28.5" customHeight="1" x14ac:dyDescent="0.25">
      <c r="B187" s="59"/>
      <c r="C187" s="78"/>
      <c r="D187" s="45"/>
      <c r="E187" s="329" t="s">
        <v>10</v>
      </c>
      <c r="F187" s="1563" t="s">
        <v>261</v>
      </c>
      <c r="G187" s="1564"/>
      <c r="H187" s="74" t="s">
        <v>262</v>
      </c>
      <c r="I187" s="330"/>
      <c r="J187" s="659">
        <f>SUM(J188:J189)</f>
        <v>5175000000</v>
      </c>
      <c r="K187" s="659">
        <f>SUM(K188:K189)</f>
        <v>5175000000</v>
      </c>
      <c r="L187" s="659">
        <f>SUM(L188:L189)</f>
        <v>5175000000</v>
      </c>
      <c r="M187" s="331">
        <f>SUM(M188:M189)</f>
        <v>5175000000</v>
      </c>
      <c r="N187" s="319"/>
      <c r="O187" s="319"/>
      <c r="P187" s="319"/>
      <c r="Q187" s="543"/>
      <c r="R187" s="504"/>
      <c r="S187" s="63"/>
    </row>
    <row r="188" spans="2:21" s="113" customFormat="1" ht="15.75" customHeight="1" x14ac:dyDescent="0.2">
      <c r="B188" s="59"/>
      <c r="C188" s="320"/>
      <c r="D188" s="321"/>
      <c r="E188" s="322"/>
      <c r="F188" s="64" t="s">
        <v>46</v>
      </c>
      <c r="G188" s="679" t="s">
        <v>408</v>
      </c>
      <c r="H188" s="326" t="s">
        <v>263</v>
      </c>
      <c r="I188" s="327">
        <v>0.57999999999999996</v>
      </c>
      <c r="J188" s="616">
        <f>5000000000</f>
        <v>5000000000</v>
      </c>
      <c r="K188" s="616">
        <f>5000000000</f>
        <v>5000000000</v>
      </c>
      <c r="L188" s="616">
        <f>5000000000</f>
        <v>5000000000</v>
      </c>
      <c r="M188" s="66">
        <f>5000000000</f>
        <v>5000000000</v>
      </c>
      <c r="N188" s="67"/>
      <c r="O188" s="67"/>
      <c r="P188" s="67"/>
      <c r="Q188" s="514"/>
      <c r="R188" s="490"/>
      <c r="S188" s="151"/>
    </row>
    <row r="189" spans="2:21" s="113" customFormat="1" ht="27.75" customHeight="1" x14ac:dyDescent="0.2">
      <c r="B189" s="59"/>
      <c r="C189" s="320"/>
      <c r="D189" s="321"/>
      <c r="E189" s="322"/>
      <c r="F189" s="64" t="s">
        <v>46</v>
      </c>
      <c r="G189" s="679" t="s">
        <v>407</v>
      </c>
      <c r="H189" s="326" t="s">
        <v>264</v>
      </c>
      <c r="I189" s="327">
        <v>1</v>
      </c>
      <c r="J189" s="616">
        <v>175000000</v>
      </c>
      <c r="K189" s="616">
        <v>175000000</v>
      </c>
      <c r="L189" s="616">
        <v>175000000</v>
      </c>
      <c r="M189" s="66">
        <v>175000000</v>
      </c>
      <c r="N189" s="67"/>
      <c r="O189" s="67"/>
      <c r="P189" s="67"/>
      <c r="Q189" s="514"/>
      <c r="R189" s="490"/>
      <c r="S189" s="151"/>
    </row>
    <row r="190" spans="2:21" s="62" customFormat="1" ht="27" customHeight="1" x14ac:dyDescent="0.25">
      <c r="B190" s="59"/>
      <c r="C190" s="827"/>
      <c r="D190" s="828"/>
      <c r="E190" s="829" t="s">
        <v>13</v>
      </c>
      <c r="F190" s="1552" t="s">
        <v>265</v>
      </c>
      <c r="G190" s="1553"/>
      <c r="H190" s="830" t="s">
        <v>464</v>
      </c>
      <c r="I190" s="831"/>
      <c r="J190" s="832">
        <f>SUM(J191:J192)</f>
        <v>1000000000</v>
      </c>
      <c r="K190" s="832">
        <f>SUM(K191:K192)</f>
        <v>1000000000</v>
      </c>
      <c r="L190" s="832">
        <f>SUM(L191:L192)</f>
        <v>500000000</v>
      </c>
      <c r="M190" s="833">
        <f>SUM(M191:M192)</f>
        <v>500000000</v>
      </c>
      <c r="N190" s="1010"/>
      <c r="O190" s="1010"/>
      <c r="P190" s="319"/>
      <c r="Q190" s="543"/>
      <c r="R190" s="504"/>
      <c r="S190" s="63"/>
    </row>
    <row r="191" spans="2:21" s="62" customFormat="1" ht="25.5" customHeight="1" x14ac:dyDescent="0.25">
      <c r="B191" s="59"/>
      <c r="C191" s="78"/>
      <c r="D191" s="45"/>
      <c r="E191" s="333"/>
      <c r="F191" s="301" t="s">
        <v>46</v>
      </c>
      <c r="G191" s="679" t="s">
        <v>266</v>
      </c>
      <c r="H191" s="678" t="s">
        <v>267</v>
      </c>
      <c r="I191" s="68">
        <v>1</v>
      </c>
      <c r="J191" s="616">
        <v>500000000</v>
      </c>
      <c r="K191" s="616">
        <v>500000000</v>
      </c>
      <c r="L191" s="616">
        <v>500000000</v>
      </c>
      <c r="M191" s="66">
        <v>500000000</v>
      </c>
      <c r="N191" s="67"/>
      <c r="O191" s="67"/>
      <c r="P191" s="67"/>
      <c r="Q191" s="514"/>
      <c r="R191" s="490"/>
      <c r="S191" s="63"/>
    </row>
    <row r="192" spans="2:21" s="229" customFormat="1" ht="21" customHeight="1" x14ac:dyDescent="0.25">
      <c r="B192" s="59"/>
      <c r="C192" s="334"/>
      <c r="D192" s="335"/>
      <c r="E192" s="336"/>
      <c r="F192" s="301" t="s">
        <v>46</v>
      </c>
      <c r="G192" s="679" t="s">
        <v>268</v>
      </c>
      <c r="H192" s="678" t="s">
        <v>269</v>
      </c>
      <c r="I192" s="68">
        <v>1</v>
      </c>
      <c r="J192" s="616">
        <v>500000000</v>
      </c>
      <c r="K192" s="616">
        <v>500000000</v>
      </c>
      <c r="L192" s="616">
        <v>0</v>
      </c>
      <c r="M192" s="66">
        <v>0</v>
      </c>
      <c r="N192" s="67"/>
      <c r="O192" s="67"/>
      <c r="P192" s="67"/>
      <c r="Q192" s="514"/>
      <c r="R192" s="490"/>
      <c r="S192" s="309"/>
    </row>
    <row r="193" spans="2:19" s="29" customFormat="1" ht="26.25" customHeight="1" x14ac:dyDescent="0.25">
      <c r="B193" s="13"/>
      <c r="C193" s="834"/>
      <c r="D193" s="599"/>
      <c r="E193" s="599" t="s">
        <v>16</v>
      </c>
      <c r="F193" s="1554" t="s">
        <v>270</v>
      </c>
      <c r="G193" s="1555"/>
      <c r="H193" s="835" t="s">
        <v>271</v>
      </c>
      <c r="I193" s="836"/>
      <c r="J193" s="615">
        <f>J194+J195</f>
        <v>1045000000</v>
      </c>
      <c r="K193" s="615">
        <f>K194+K195</f>
        <v>1045000000</v>
      </c>
      <c r="L193" s="615">
        <f>L194+L195</f>
        <v>1545000000</v>
      </c>
      <c r="M193" s="600">
        <f>M194+M195</f>
        <v>1545000000</v>
      </c>
      <c r="N193" s="1011"/>
      <c r="O193" s="1011"/>
      <c r="P193" s="61"/>
      <c r="Q193" s="536"/>
      <c r="R193" s="489"/>
      <c r="S193" s="63"/>
    </row>
    <row r="194" spans="2:19" s="29" customFormat="1" ht="27" customHeight="1" x14ac:dyDescent="0.25">
      <c r="B194" s="13"/>
      <c r="C194" s="87"/>
      <c r="D194" s="109"/>
      <c r="E194" s="109"/>
      <c r="F194" s="301" t="s">
        <v>46</v>
      </c>
      <c r="G194" s="679" t="s">
        <v>272</v>
      </c>
      <c r="H194" s="678" t="s">
        <v>273</v>
      </c>
      <c r="I194" s="436">
        <v>1</v>
      </c>
      <c r="J194" s="618">
        <v>1000000000</v>
      </c>
      <c r="K194" s="618">
        <v>1000000000</v>
      </c>
      <c r="L194" s="618">
        <f>1000000000+500000000</f>
        <v>1500000000</v>
      </c>
      <c r="M194" s="73">
        <f>1000000000+500000000</f>
        <v>1500000000</v>
      </c>
      <c r="N194" s="67"/>
      <c r="O194" s="67"/>
      <c r="P194" s="67"/>
      <c r="Q194" s="537"/>
      <c r="R194" s="490"/>
      <c r="S194" s="63"/>
    </row>
    <row r="195" spans="2:19" s="29" customFormat="1" ht="27" customHeight="1" x14ac:dyDescent="0.25">
      <c r="B195" s="13"/>
      <c r="C195" s="87"/>
      <c r="D195" s="109"/>
      <c r="E195" s="109"/>
      <c r="F195" s="301" t="s">
        <v>46</v>
      </c>
      <c r="G195" s="679" t="s">
        <v>274</v>
      </c>
      <c r="H195" s="678" t="s">
        <v>274</v>
      </c>
      <c r="I195" s="68">
        <v>1</v>
      </c>
      <c r="J195" s="616">
        <v>45000000</v>
      </c>
      <c r="K195" s="616">
        <v>45000000</v>
      </c>
      <c r="L195" s="616">
        <v>45000000</v>
      </c>
      <c r="M195" s="66">
        <v>45000000</v>
      </c>
      <c r="N195" s="67"/>
      <c r="O195" s="67"/>
      <c r="P195" s="67"/>
      <c r="Q195" s="514"/>
      <c r="R195" s="490"/>
      <c r="S195" s="63"/>
    </row>
    <row r="196" spans="2:19" s="62" customFormat="1" ht="31.5" customHeight="1" x14ac:dyDescent="0.25">
      <c r="B196" s="59"/>
      <c r="C196" s="78"/>
      <c r="D196" s="45"/>
      <c r="E196" s="329" t="s">
        <v>19</v>
      </c>
      <c r="F196" s="1548" t="s">
        <v>275</v>
      </c>
      <c r="G196" s="1549"/>
      <c r="H196" s="433" t="s">
        <v>276</v>
      </c>
      <c r="I196" s="435"/>
      <c r="J196" s="660">
        <f>SUM(J197:J199)</f>
        <v>8750000000</v>
      </c>
      <c r="K196" s="660">
        <f>SUM(K197:K199)</f>
        <v>8750000000</v>
      </c>
      <c r="L196" s="660">
        <f>SUM(L197:L199)</f>
        <v>8750000000</v>
      </c>
      <c r="M196" s="60">
        <f>SUM(M197:M199)</f>
        <v>8750000000</v>
      </c>
      <c r="N196" s="61"/>
      <c r="O196" s="61"/>
      <c r="P196" s="61"/>
      <c r="Q196" s="536"/>
      <c r="R196" s="489"/>
      <c r="S196" s="63"/>
    </row>
    <row r="197" spans="2:19" s="62" customFormat="1" ht="15.75" customHeight="1" x14ac:dyDescent="0.25">
      <c r="B197" s="59"/>
      <c r="C197" s="78"/>
      <c r="D197" s="45"/>
      <c r="E197" s="333"/>
      <c r="F197" s="64" t="s">
        <v>46</v>
      </c>
      <c r="G197" s="679" t="s">
        <v>277</v>
      </c>
      <c r="H197" s="678" t="s">
        <v>278</v>
      </c>
      <c r="I197" s="435">
        <v>1</v>
      </c>
      <c r="J197" s="616">
        <v>8405000000</v>
      </c>
      <c r="K197" s="616">
        <v>8405000000</v>
      </c>
      <c r="L197" s="616">
        <v>8405000000</v>
      </c>
      <c r="M197" s="66">
        <v>8405000000</v>
      </c>
      <c r="N197" s="67"/>
      <c r="O197" s="67"/>
      <c r="P197" s="67"/>
      <c r="Q197" s="536"/>
      <c r="R197" s="490"/>
      <c r="S197" s="63"/>
    </row>
    <row r="198" spans="2:19" s="62" customFormat="1" ht="27" customHeight="1" x14ac:dyDescent="0.2">
      <c r="B198" s="59"/>
      <c r="C198" s="78"/>
      <c r="D198" s="45"/>
      <c r="E198" s="333"/>
      <c r="F198" s="64" t="s">
        <v>46</v>
      </c>
      <c r="G198" s="679" t="s">
        <v>279</v>
      </c>
      <c r="H198" s="337" t="s">
        <v>280</v>
      </c>
      <c r="I198" s="435">
        <v>1</v>
      </c>
      <c r="J198" s="616">
        <v>245000000</v>
      </c>
      <c r="K198" s="616">
        <v>245000000</v>
      </c>
      <c r="L198" s="616">
        <v>245000000</v>
      </c>
      <c r="M198" s="66">
        <v>245000000</v>
      </c>
      <c r="N198" s="67"/>
      <c r="O198" s="67"/>
      <c r="P198" s="67"/>
      <c r="Q198" s="536"/>
      <c r="R198" s="490"/>
      <c r="S198" s="63"/>
    </row>
    <row r="199" spans="2:19" s="62" customFormat="1" ht="15.75" customHeight="1" x14ac:dyDescent="0.25">
      <c r="B199" s="59"/>
      <c r="C199" s="78"/>
      <c r="D199" s="45"/>
      <c r="E199" s="333"/>
      <c r="F199" s="64" t="s">
        <v>46</v>
      </c>
      <c r="G199" s="679" t="s">
        <v>281</v>
      </c>
      <c r="H199" s="678" t="s">
        <v>282</v>
      </c>
      <c r="I199" s="68">
        <v>1</v>
      </c>
      <c r="J199" s="616">
        <v>100000000</v>
      </c>
      <c r="K199" s="616">
        <v>100000000</v>
      </c>
      <c r="L199" s="616">
        <v>100000000</v>
      </c>
      <c r="M199" s="66">
        <v>100000000</v>
      </c>
      <c r="N199" s="67"/>
      <c r="O199" s="67"/>
      <c r="P199" s="67"/>
      <c r="Q199" s="514"/>
      <c r="R199" s="490"/>
      <c r="S199" s="63"/>
    </row>
    <row r="200" spans="2:19" s="29" customFormat="1" ht="26.25" customHeight="1" x14ac:dyDescent="0.25">
      <c r="B200" s="13"/>
      <c r="C200" s="87"/>
      <c r="D200" s="109"/>
      <c r="E200" s="109" t="s">
        <v>27</v>
      </c>
      <c r="F200" s="1548" t="s">
        <v>283</v>
      </c>
      <c r="G200" s="1549"/>
      <c r="H200" s="433" t="s">
        <v>284</v>
      </c>
      <c r="I200" s="435"/>
      <c r="J200" s="660">
        <f>J201+J202</f>
        <v>1045000000</v>
      </c>
      <c r="K200" s="660">
        <f>K201+K202</f>
        <v>1045000000</v>
      </c>
      <c r="L200" s="660">
        <f>L201+L202</f>
        <v>1045000000</v>
      </c>
      <c r="M200" s="60">
        <f>M201+M202</f>
        <v>1045000000</v>
      </c>
      <c r="N200" s="61"/>
      <c r="O200" s="61"/>
      <c r="P200" s="61"/>
      <c r="Q200" s="536"/>
      <c r="R200" s="489"/>
      <c r="S200" s="63"/>
    </row>
    <row r="201" spans="2:19" s="29" customFormat="1" x14ac:dyDescent="0.25">
      <c r="B201" s="13"/>
      <c r="C201" s="87"/>
      <c r="D201" s="109"/>
      <c r="E201" s="109"/>
      <c r="F201" s="64" t="s">
        <v>46</v>
      </c>
      <c r="G201" s="679" t="s">
        <v>285</v>
      </c>
      <c r="H201" s="678" t="s">
        <v>286</v>
      </c>
      <c r="I201" s="436">
        <v>1</v>
      </c>
      <c r="J201" s="618">
        <v>1000000000</v>
      </c>
      <c r="K201" s="618">
        <v>1000000000</v>
      </c>
      <c r="L201" s="618">
        <v>1000000000</v>
      </c>
      <c r="M201" s="73">
        <v>1000000000</v>
      </c>
      <c r="N201" s="67"/>
      <c r="O201" s="67"/>
      <c r="P201" s="67"/>
      <c r="Q201" s="537"/>
      <c r="R201" s="490"/>
      <c r="S201" s="63"/>
    </row>
    <row r="202" spans="2:19" s="29" customFormat="1" ht="29.25" customHeight="1" x14ac:dyDescent="0.25">
      <c r="B202" s="13"/>
      <c r="C202" s="87"/>
      <c r="D202" s="109"/>
      <c r="E202" s="109"/>
      <c r="F202" s="301" t="s">
        <v>46</v>
      </c>
      <c r="G202" s="679" t="s">
        <v>287</v>
      </c>
      <c r="H202" s="678" t="s">
        <v>288</v>
      </c>
      <c r="I202" s="68">
        <v>1</v>
      </c>
      <c r="J202" s="618">
        <v>45000000</v>
      </c>
      <c r="K202" s="618">
        <v>45000000</v>
      </c>
      <c r="L202" s="618">
        <v>45000000</v>
      </c>
      <c r="M202" s="73">
        <v>45000000</v>
      </c>
      <c r="N202" s="67"/>
      <c r="O202" s="67"/>
      <c r="P202" s="67"/>
      <c r="Q202" s="514"/>
      <c r="R202" s="490"/>
      <c r="S202" s="63"/>
    </row>
    <row r="203" spans="2:19" s="29" customFormat="1" ht="23.25" customHeight="1" x14ac:dyDescent="0.25">
      <c r="B203" s="13"/>
      <c r="C203" s="87"/>
      <c r="D203" s="109"/>
      <c r="E203" s="109" t="s">
        <v>30</v>
      </c>
      <c r="F203" s="1548" t="s">
        <v>289</v>
      </c>
      <c r="G203" s="1549"/>
      <c r="H203" s="433" t="s">
        <v>290</v>
      </c>
      <c r="I203" s="435">
        <v>1</v>
      </c>
      <c r="J203" s="660">
        <f>J204+J205</f>
        <v>3500000000</v>
      </c>
      <c r="K203" s="660">
        <f>K204+K205</f>
        <v>3500000000</v>
      </c>
      <c r="L203" s="660">
        <f>L204+L205</f>
        <v>3500000000</v>
      </c>
      <c r="M203" s="60">
        <f>M204+M205</f>
        <v>3500000000</v>
      </c>
      <c r="N203" s="61"/>
      <c r="O203" s="61"/>
      <c r="P203" s="61"/>
      <c r="Q203" s="536"/>
      <c r="R203" s="489"/>
      <c r="S203" s="63" t="s">
        <v>291</v>
      </c>
    </row>
    <row r="204" spans="2:19" s="29" customFormat="1" ht="22.5" customHeight="1" x14ac:dyDescent="0.25">
      <c r="B204" s="13"/>
      <c r="C204" s="54"/>
      <c r="D204" s="55"/>
      <c r="E204" s="55"/>
      <c r="F204" s="301" t="s">
        <v>46</v>
      </c>
      <c r="G204" s="679" t="s">
        <v>292</v>
      </c>
      <c r="H204" s="678" t="s">
        <v>293</v>
      </c>
      <c r="I204" s="437">
        <v>1</v>
      </c>
      <c r="J204" s="618">
        <f>3500000000-125000000</f>
        <v>3375000000</v>
      </c>
      <c r="K204" s="618">
        <f>3500000000-125000000</f>
        <v>3375000000</v>
      </c>
      <c r="L204" s="618">
        <f>3500000000-125000000</f>
        <v>3375000000</v>
      </c>
      <c r="M204" s="73">
        <f>3500000000-125000000</f>
        <v>3375000000</v>
      </c>
      <c r="N204" s="67"/>
      <c r="O204" s="67"/>
      <c r="P204" s="67"/>
      <c r="Q204" s="538"/>
      <c r="R204" s="490"/>
      <c r="S204" s="63" t="s">
        <v>427</v>
      </c>
    </row>
    <row r="205" spans="2:19" s="29" customFormat="1" ht="24" customHeight="1" x14ac:dyDescent="0.25">
      <c r="B205" s="13"/>
      <c r="C205" s="87"/>
      <c r="D205" s="109"/>
      <c r="E205" s="109"/>
      <c r="F205" s="301" t="s">
        <v>46</v>
      </c>
      <c r="G205" s="679" t="s">
        <v>294</v>
      </c>
      <c r="H205" s="678" t="s">
        <v>295</v>
      </c>
      <c r="I205" s="68">
        <v>1</v>
      </c>
      <c r="J205" s="616">
        <v>125000000</v>
      </c>
      <c r="K205" s="616">
        <v>125000000</v>
      </c>
      <c r="L205" s="616">
        <v>125000000</v>
      </c>
      <c r="M205" s="66">
        <v>125000000</v>
      </c>
      <c r="N205" s="67"/>
      <c r="O205" s="67"/>
      <c r="P205" s="67"/>
      <c r="Q205" s="514"/>
      <c r="R205" s="490"/>
      <c r="S205" s="63"/>
    </row>
    <row r="206" spans="2:19" s="29" customFormat="1" ht="23.25" customHeight="1" x14ac:dyDescent="0.25">
      <c r="B206" s="13"/>
      <c r="C206" s="54"/>
      <c r="D206" s="55"/>
      <c r="E206" s="55" t="s">
        <v>8</v>
      </c>
      <c r="F206" s="1548" t="s">
        <v>296</v>
      </c>
      <c r="G206" s="1549"/>
      <c r="H206" s="69" t="s">
        <v>297</v>
      </c>
      <c r="I206" s="70"/>
      <c r="J206" s="617">
        <f>SUM(J207:J209)</f>
        <v>1600000000</v>
      </c>
      <c r="K206" s="617">
        <f>SUM(K207:K209)</f>
        <v>1600000000</v>
      </c>
      <c r="L206" s="617">
        <f>SUM(L207:L209)</f>
        <v>1600000000</v>
      </c>
      <c r="M206" s="71">
        <f>SUM(M207:M209)</f>
        <v>1600000000</v>
      </c>
      <c r="N206" s="61"/>
      <c r="O206" s="61"/>
      <c r="P206" s="61"/>
      <c r="Q206" s="562"/>
      <c r="R206" s="489"/>
      <c r="S206" s="63"/>
    </row>
    <row r="207" spans="2:19" s="29" customFormat="1" ht="26.25" customHeight="1" x14ac:dyDescent="0.25">
      <c r="B207" s="13"/>
      <c r="C207" s="54"/>
      <c r="D207" s="55"/>
      <c r="E207" s="55"/>
      <c r="F207" s="301" t="s">
        <v>46</v>
      </c>
      <c r="G207" s="679" t="s">
        <v>499</v>
      </c>
      <c r="H207" s="678" t="s">
        <v>500</v>
      </c>
      <c r="I207" s="72">
        <v>1</v>
      </c>
      <c r="J207" s="618">
        <v>1490000000</v>
      </c>
      <c r="K207" s="618">
        <v>1490000000</v>
      </c>
      <c r="L207" s="618">
        <v>1490000000</v>
      </c>
      <c r="M207" s="73">
        <v>1490000000</v>
      </c>
      <c r="N207" s="67"/>
      <c r="O207" s="67"/>
      <c r="P207" s="67"/>
      <c r="Q207" s="563"/>
      <c r="R207" s="490"/>
      <c r="S207" s="63"/>
    </row>
    <row r="208" spans="2:19" s="29" customFormat="1" ht="24.75" customHeight="1" x14ac:dyDescent="0.25">
      <c r="B208" s="13"/>
      <c r="C208" s="54"/>
      <c r="D208" s="55"/>
      <c r="E208" s="55"/>
      <c r="F208" s="301" t="s">
        <v>46</v>
      </c>
      <c r="G208" s="679" t="s">
        <v>298</v>
      </c>
      <c r="H208" s="678" t="s">
        <v>299</v>
      </c>
      <c r="I208" s="72">
        <v>1</v>
      </c>
      <c r="J208" s="618">
        <v>50000000</v>
      </c>
      <c r="K208" s="618">
        <v>50000000</v>
      </c>
      <c r="L208" s="618">
        <v>50000000</v>
      </c>
      <c r="M208" s="73">
        <v>50000000</v>
      </c>
      <c r="N208" s="67"/>
      <c r="O208" s="67"/>
      <c r="P208" s="67"/>
      <c r="Q208" s="563"/>
      <c r="R208" s="490"/>
      <c r="S208" s="63"/>
    </row>
    <row r="209" spans="2:21" s="29" customFormat="1" ht="16.5" customHeight="1" x14ac:dyDescent="0.25">
      <c r="B209" s="13"/>
      <c r="C209" s="54"/>
      <c r="D209" s="55"/>
      <c r="E209" s="55"/>
      <c r="F209" s="301" t="s">
        <v>46</v>
      </c>
      <c r="G209" s="679" t="s">
        <v>300</v>
      </c>
      <c r="H209" s="678" t="s">
        <v>301</v>
      </c>
      <c r="I209" s="72">
        <v>1</v>
      </c>
      <c r="J209" s="618">
        <v>60000000</v>
      </c>
      <c r="K209" s="618">
        <v>60000000</v>
      </c>
      <c r="L209" s="618">
        <v>60000000</v>
      </c>
      <c r="M209" s="73">
        <v>60000000</v>
      </c>
      <c r="N209" s="67"/>
      <c r="O209" s="67"/>
      <c r="P209" s="67"/>
      <c r="Q209" s="563"/>
      <c r="R209" s="490"/>
      <c r="S209" s="63"/>
    </row>
    <row r="210" spans="2:21" s="349" customFormat="1" ht="23.25" customHeight="1" x14ac:dyDescent="0.25">
      <c r="B210" s="339"/>
      <c r="C210" s="347"/>
      <c r="D210" s="55"/>
      <c r="E210" s="55" t="s">
        <v>22</v>
      </c>
      <c r="F210" s="1550" t="s">
        <v>302</v>
      </c>
      <c r="G210" s="1551"/>
      <c r="H210" s="984" t="s">
        <v>303</v>
      </c>
      <c r="I210" s="439"/>
      <c r="J210" s="617">
        <f>SUM(J211:J212)</f>
        <v>3100000000</v>
      </c>
      <c r="K210" s="617">
        <f>SUM(K211:K212)</f>
        <v>3100000000</v>
      </c>
      <c r="L210" s="617">
        <f>SUM(L211:L212)</f>
        <v>3100000000</v>
      </c>
      <c r="M210" s="71">
        <f>SUM(M211:M212)</f>
        <v>3100000000</v>
      </c>
      <c r="N210" s="61"/>
      <c r="O210" s="61"/>
      <c r="P210" s="61"/>
      <c r="Q210" s="564"/>
      <c r="R210" s="489"/>
      <c r="S210" s="350"/>
    </row>
    <row r="211" spans="2:21" s="343" customFormat="1" ht="15" customHeight="1" x14ac:dyDescent="0.25">
      <c r="B211" s="339"/>
      <c r="C211" s="340"/>
      <c r="D211" s="341"/>
      <c r="E211" s="341"/>
      <c r="F211" s="351" t="s">
        <v>46</v>
      </c>
      <c r="G211" s="131" t="s">
        <v>304</v>
      </c>
      <c r="H211" s="342" t="s">
        <v>305</v>
      </c>
      <c r="I211" s="438">
        <v>1</v>
      </c>
      <c r="J211" s="618">
        <v>3000000000</v>
      </c>
      <c r="K211" s="618">
        <v>3000000000</v>
      </c>
      <c r="L211" s="618">
        <v>3000000000</v>
      </c>
      <c r="M211" s="73">
        <v>3000000000</v>
      </c>
      <c r="N211" s="67"/>
      <c r="O211" s="67"/>
      <c r="P211" s="67"/>
      <c r="Q211" s="565"/>
      <c r="R211" s="490"/>
      <c r="S211" s="344"/>
    </row>
    <row r="212" spans="2:21" s="343" customFormat="1" ht="12.75" customHeight="1" x14ac:dyDescent="0.25">
      <c r="B212" s="339"/>
      <c r="C212" s="340"/>
      <c r="D212" s="341"/>
      <c r="E212" s="341"/>
      <c r="F212" s="351" t="s">
        <v>46</v>
      </c>
      <c r="G212" s="131" t="s">
        <v>306</v>
      </c>
      <c r="H212" s="342" t="s">
        <v>307</v>
      </c>
      <c r="I212" s="438">
        <v>1</v>
      </c>
      <c r="J212" s="618">
        <v>100000000</v>
      </c>
      <c r="K212" s="618">
        <v>100000000</v>
      </c>
      <c r="L212" s="618">
        <v>100000000</v>
      </c>
      <c r="M212" s="73">
        <v>100000000</v>
      </c>
      <c r="N212" s="67"/>
      <c r="O212" s="67"/>
      <c r="P212" s="67"/>
      <c r="Q212" s="565"/>
      <c r="R212" s="490"/>
      <c r="S212" s="344"/>
    </row>
    <row r="213" spans="2:21" s="343" customFormat="1" ht="23.25" customHeight="1" x14ac:dyDescent="0.25">
      <c r="B213" s="339"/>
      <c r="C213" s="683"/>
      <c r="D213" s="684"/>
      <c r="E213" s="684" t="s">
        <v>210</v>
      </c>
      <c r="F213" s="1552" t="s">
        <v>308</v>
      </c>
      <c r="G213" s="1553"/>
      <c r="H213" s="685" t="s">
        <v>309</v>
      </c>
      <c r="I213" s="686">
        <v>1</v>
      </c>
      <c r="J213" s="687">
        <f>2500000000-323917029-50000000</f>
        <v>2126082971</v>
      </c>
      <c r="K213" s="687">
        <f>2500000000-323917029-50000000</f>
        <v>2126082971</v>
      </c>
      <c r="L213" s="687">
        <v>600000000</v>
      </c>
      <c r="M213" s="688">
        <v>600000000</v>
      </c>
      <c r="N213" s="1011"/>
      <c r="O213" s="1011"/>
      <c r="P213" s="61"/>
      <c r="Q213" s="565"/>
      <c r="R213" s="489"/>
      <c r="S213" s="344"/>
    </row>
    <row r="214" spans="2:21" s="345" customFormat="1" ht="23.25" customHeight="1" x14ac:dyDescent="0.25">
      <c r="B214" s="339"/>
      <c r="C214" s="54"/>
      <c r="D214" s="55"/>
      <c r="E214" s="55">
        <v>11</v>
      </c>
      <c r="F214" s="1550" t="s">
        <v>310</v>
      </c>
      <c r="G214" s="1551"/>
      <c r="H214" s="342" t="s">
        <v>416</v>
      </c>
      <c r="I214" s="440"/>
      <c r="J214" s="617">
        <f>J215+J216</f>
        <v>800000000</v>
      </c>
      <c r="K214" s="617">
        <f>K215+K216</f>
        <v>800000000</v>
      </c>
      <c r="L214" s="617">
        <f>L215+L216</f>
        <v>800000000</v>
      </c>
      <c r="M214" s="71">
        <f>M215+M216</f>
        <v>800000000</v>
      </c>
      <c r="N214" s="61"/>
      <c r="O214" s="61"/>
      <c r="P214" s="61"/>
      <c r="Q214" s="566"/>
      <c r="R214" s="489"/>
      <c r="S214" s="346"/>
    </row>
    <row r="215" spans="2:21" s="343" customFormat="1" ht="27" customHeight="1" x14ac:dyDescent="0.25">
      <c r="B215" s="339"/>
      <c r="C215" s="340"/>
      <c r="D215" s="341"/>
      <c r="E215" s="341"/>
      <c r="F215" s="720" t="s">
        <v>46</v>
      </c>
      <c r="G215" s="131" t="s">
        <v>311</v>
      </c>
      <c r="H215" s="342" t="s">
        <v>312</v>
      </c>
      <c r="I215" s="438"/>
      <c r="J215" s="618">
        <v>500000000</v>
      </c>
      <c r="K215" s="618">
        <v>500000000</v>
      </c>
      <c r="L215" s="618">
        <v>500000000</v>
      </c>
      <c r="M215" s="73">
        <v>500000000</v>
      </c>
      <c r="N215" s="67"/>
      <c r="O215" s="67"/>
      <c r="P215" s="67"/>
      <c r="Q215" s="565"/>
      <c r="R215" s="490"/>
      <c r="S215" s="344"/>
    </row>
    <row r="216" spans="2:21" s="343" customFormat="1" ht="25.5" customHeight="1" x14ac:dyDescent="0.25">
      <c r="B216" s="339"/>
      <c r="C216" s="340"/>
      <c r="D216" s="341"/>
      <c r="E216" s="341"/>
      <c r="F216" s="720" t="s">
        <v>46</v>
      </c>
      <c r="G216" s="131" t="s">
        <v>313</v>
      </c>
      <c r="H216" s="342" t="s">
        <v>314</v>
      </c>
      <c r="I216" s="438"/>
      <c r="J216" s="618">
        <v>300000000</v>
      </c>
      <c r="K216" s="618">
        <v>300000000</v>
      </c>
      <c r="L216" s="618">
        <v>300000000</v>
      </c>
      <c r="M216" s="73">
        <v>300000000</v>
      </c>
      <c r="N216" s="67"/>
      <c r="O216" s="67"/>
      <c r="P216" s="67"/>
      <c r="Q216" s="565"/>
      <c r="R216" s="490"/>
      <c r="S216" s="344"/>
    </row>
    <row r="217" spans="2:21" s="29" customFormat="1" ht="27" customHeight="1" x14ac:dyDescent="0.25">
      <c r="B217" s="13"/>
      <c r="C217" s="87"/>
      <c r="D217" s="109"/>
      <c r="E217" s="109">
        <v>12</v>
      </c>
      <c r="F217" s="1542" t="s">
        <v>315</v>
      </c>
      <c r="G217" s="1543"/>
      <c r="H217" s="434" t="s">
        <v>316</v>
      </c>
      <c r="I217" s="353">
        <v>1</v>
      </c>
      <c r="J217" s="660">
        <v>200000000</v>
      </c>
      <c r="K217" s="660">
        <v>200000000</v>
      </c>
      <c r="L217" s="660">
        <v>200000000</v>
      </c>
      <c r="M217" s="60">
        <v>200000000</v>
      </c>
      <c r="N217" s="61"/>
      <c r="O217" s="61"/>
      <c r="P217" s="61"/>
      <c r="Q217" s="567"/>
      <c r="R217" s="489"/>
      <c r="S217" s="28"/>
    </row>
    <row r="218" spans="2:21" s="29" customFormat="1" ht="26.25" customHeight="1" x14ac:dyDescent="0.25">
      <c r="B218" s="13"/>
      <c r="C218" s="714"/>
      <c r="D218" s="599"/>
      <c r="E218" s="599">
        <v>13</v>
      </c>
      <c r="F218" s="1544" t="s">
        <v>317</v>
      </c>
      <c r="G218" s="1545"/>
      <c r="H218" s="715" t="s">
        <v>318</v>
      </c>
      <c r="I218" s="716" t="s">
        <v>319</v>
      </c>
      <c r="J218" s="717">
        <v>100000000</v>
      </c>
      <c r="K218" s="717">
        <v>100000000</v>
      </c>
      <c r="L218" s="717">
        <v>300000000</v>
      </c>
      <c r="M218" s="718">
        <v>300000000</v>
      </c>
      <c r="N218" s="1012"/>
      <c r="O218" s="1012"/>
      <c r="P218" s="7"/>
      <c r="Q218" s="568"/>
      <c r="R218" s="986"/>
      <c r="S218" s="28"/>
    </row>
    <row r="219" spans="2:21" s="29" customFormat="1" ht="20.25" customHeight="1" x14ac:dyDescent="0.25">
      <c r="B219" s="13"/>
      <c r="C219" s="714"/>
      <c r="D219" s="599"/>
      <c r="E219" s="599">
        <v>14</v>
      </c>
      <c r="F219" s="1546" t="s">
        <v>320</v>
      </c>
      <c r="G219" s="1547"/>
      <c r="H219" s="715" t="s">
        <v>321</v>
      </c>
      <c r="I219" s="716" t="s">
        <v>319</v>
      </c>
      <c r="J219" s="717">
        <v>200000000</v>
      </c>
      <c r="K219" s="717">
        <v>200000000</v>
      </c>
      <c r="L219" s="717">
        <v>600000000</v>
      </c>
      <c r="M219" s="718">
        <v>600000000</v>
      </c>
      <c r="N219" s="1012"/>
      <c r="O219" s="1012"/>
      <c r="P219" s="7"/>
      <c r="Q219" s="568"/>
      <c r="R219" s="986"/>
      <c r="S219" s="28"/>
    </row>
    <row r="220" spans="2:21" s="62" customFormat="1" ht="38.25" customHeight="1" x14ac:dyDescent="0.25">
      <c r="B220" s="59"/>
      <c r="C220" s="714"/>
      <c r="D220" s="599"/>
      <c r="E220" s="599">
        <v>15</v>
      </c>
      <c r="F220" s="1544" t="s">
        <v>322</v>
      </c>
      <c r="G220" s="1545"/>
      <c r="H220" s="715" t="s">
        <v>323</v>
      </c>
      <c r="I220" s="719" t="s">
        <v>86</v>
      </c>
      <c r="J220" s="717">
        <v>100000000</v>
      </c>
      <c r="K220" s="717">
        <v>100000000</v>
      </c>
      <c r="L220" s="717">
        <v>250000000</v>
      </c>
      <c r="M220" s="718">
        <v>250000000</v>
      </c>
      <c r="N220" s="1012"/>
      <c r="O220" s="1012"/>
      <c r="P220" s="7"/>
      <c r="Q220" s="569"/>
      <c r="R220" s="986"/>
      <c r="S220" s="148"/>
    </row>
    <row r="221" spans="2:21" s="29" customFormat="1" ht="26.25" customHeight="1" x14ac:dyDescent="0.25">
      <c r="B221" s="13"/>
      <c r="C221" s="87"/>
      <c r="D221" s="109"/>
      <c r="E221" s="109">
        <v>16</v>
      </c>
      <c r="F221" s="1542" t="s">
        <v>324</v>
      </c>
      <c r="G221" s="1543"/>
      <c r="H221" s="352" t="s">
        <v>325</v>
      </c>
      <c r="I221" s="353">
        <v>1</v>
      </c>
      <c r="J221" s="660">
        <v>200000000</v>
      </c>
      <c r="K221" s="660">
        <v>200000000</v>
      </c>
      <c r="L221" s="660">
        <v>200000000</v>
      </c>
      <c r="M221" s="60">
        <v>200000000</v>
      </c>
      <c r="N221" s="61"/>
      <c r="O221" s="61"/>
      <c r="P221" s="61"/>
      <c r="Q221" s="567"/>
      <c r="R221" s="489"/>
      <c r="S221" s="28"/>
    </row>
    <row r="222" spans="2:21" ht="3" customHeight="1" x14ac:dyDescent="0.25">
      <c r="C222" s="95"/>
      <c r="D222" s="96"/>
      <c r="E222" s="96"/>
      <c r="F222" s="1540"/>
      <c r="G222" s="1541"/>
      <c r="H222" s="355"/>
      <c r="I222" s="356"/>
      <c r="J222" s="661"/>
      <c r="K222" s="661"/>
      <c r="L222" s="661"/>
      <c r="M222" s="357"/>
      <c r="N222" s="1013"/>
      <c r="O222" s="1013"/>
      <c r="P222" s="358"/>
      <c r="Q222" s="570"/>
      <c r="R222" s="505"/>
    </row>
    <row r="223" spans="2:21" s="15" customFormat="1" ht="25.5" customHeight="1" x14ac:dyDescent="0.25">
      <c r="B223" s="13"/>
      <c r="C223" s="1506" t="s">
        <v>456</v>
      </c>
      <c r="D223" s="1507"/>
      <c r="E223" s="1535" t="s">
        <v>326</v>
      </c>
      <c r="F223" s="1536"/>
      <c r="G223" s="1537"/>
      <c r="H223" s="359" t="s">
        <v>327</v>
      </c>
      <c r="I223" s="360"/>
      <c r="J223" s="641">
        <f>SUM(J224:J225)</f>
        <v>750000000</v>
      </c>
      <c r="K223" s="641">
        <f>SUM(K224:K225)</f>
        <v>750000000</v>
      </c>
      <c r="L223" s="641">
        <f>SUM(L224:L225)</f>
        <v>750000000</v>
      </c>
      <c r="M223" s="233">
        <f>SUM(M224:M225)</f>
        <v>750000000</v>
      </c>
      <c r="N223" s="1001"/>
      <c r="O223" s="1001"/>
      <c r="P223" s="26"/>
      <c r="Q223" s="571"/>
      <c r="R223" s="495"/>
    </row>
    <row r="224" spans="2:21" s="29" customFormat="1" ht="18" customHeight="1" x14ac:dyDescent="0.25">
      <c r="B224" s="13"/>
      <c r="C224" s="39"/>
      <c r="D224" s="140"/>
      <c r="E224" s="109" t="s">
        <v>5</v>
      </c>
      <c r="F224" s="1533" t="s">
        <v>329</v>
      </c>
      <c r="G224" s="1534"/>
      <c r="H224" s="141" t="s">
        <v>330</v>
      </c>
      <c r="I224" s="142" t="s">
        <v>328</v>
      </c>
      <c r="J224" s="629">
        <v>400000000</v>
      </c>
      <c r="K224" s="629">
        <v>400000000</v>
      </c>
      <c r="L224" s="629">
        <v>400000000</v>
      </c>
      <c r="M224" s="143">
        <v>400000000</v>
      </c>
      <c r="N224" s="144"/>
      <c r="O224" s="144"/>
      <c r="P224" s="144"/>
      <c r="Q224" s="561"/>
      <c r="R224" s="492"/>
      <c r="U224" s="145"/>
    </row>
    <row r="225" spans="2:21" s="29" customFormat="1" ht="18" customHeight="1" x14ac:dyDescent="0.25">
      <c r="B225" s="13"/>
      <c r="C225" s="39"/>
      <c r="D225" s="140"/>
      <c r="E225" s="109" t="s">
        <v>10</v>
      </c>
      <c r="F225" s="1533" t="s">
        <v>331</v>
      </c>
      <c r="G225" s="1534"/>
      <c r="H225" s="141" t="s">
        <v>332</v>
      </c>
      <c r="I225" s="142" t="s">
        <v>319</v>
      </c>
      <c r="J225" s="629">
        <v>350000000</v>
      </c>
      <c r="K225" s="629">
        <v>350000000</v>
      </c>
      <c r="L225" s="629">
        <v>350000000</v>
      </c>
      <c r="M225" s="143">
        <v>350000000</v>
      </c>
      <c r="N225" s="144"/>
      <c r="O225" s="144"/>
      <c r="P225" s="144"/>
      <c r="Q225" s="561"/>
      <c r="R225" s="492"/>
      <c r="U225" s="145"/>
    </row>
    <row r="226" spans="2:21" ht="5.25" customHeight="1" x14ac:dyDescent="0.25">
      <c r="C226" s="363"/>
      <c r="D226" s="364"/>
      <c r="E226" s="276"/>
      <c r="F226" s="365"/>
      <c r="G226" s="366"/>
      <c r="H226" s="367"/>
      <c r="I226" s="368"/>
      <c r="J226" s="651"/>
      <c r="K226" s="651"/>
      <c r="L226" s="651"/>
      <c r="M226" s="290"/>
      <c r="N226" s="1007"/>
      <c r="O226" s="1007"/>
      <c r="Q226" s="572"/>
      <c r="U226" s="230"/>
    </row>
    <row r="227" spans="2:21" s="15" customFormat="1" ht="27.75" customHeight="1" x14ac:dyDescent="0.25">
      <c r="B227" s="13"/>
      <c r="C227" s="1506" t="s">
        <v>457</v>
      </c>
      <c r="D227" s="1507"/>
      <c r="E227" s="1535" t="s">
        <v>333</v>
      </c>
      <c r="F227" s="1536"/>
      <c r="G227" s="1537"/>
      <c r="H227" s="359" t="s">
        <v>334</v>
      </c>
      <c r="I227" s="360"/>
      <c r="J227" s="641">
        <f>J228+J229</f>
        <v>2200000000</v>
      </c>
      <c r="K227" s="641">
        <f>K228+K229</f>
        <v>2200000000</v>
      </c>
      <c r="L227" s="641">
        <f>L228+L229</f>
        <v>2976082971</v>
      </c>
      <c r="M227" s="233">
        <f>M228+M229</f>
        <v>2976082971</v>
      </c>
      <c r="N227" s="1001"/>
      <c r="O227" s="1001"/>
      <c r="P227" s="26"/>
      <c r="Q227" s="571"/>
      <c r="R227" s="495"/>
    </row>
    <row r="228" spans="2:21" s="29" customFormat="1" ht="15.75" customHeight="1" x14ac:dyDescent="0.25">
      <c r="B228" s="13"/>
      <c r="C228" s="39"/>
      <c r="D228" s="140"/>
      <c r="E228" s="109" t="s">
        <v>5</v>
      </c>
      <c r="F228" s="1538" t="s">
        <v>335</v>
      </c>
      <c r="G228" s="1539"/>
      <c r="H228" s="141" t="s">
        <v>336</v>
      </c>
      <c r="I228" s="142" t="s">
        <v>109</v>
      </c>
      <c r="J228" s="629">
        <f>2000000000</f>
        <v>2000000000</v>
      </c>
      <c r="K228" s="629">
        <f>2000000000</f>
        <v>2000000000</v>
      </c>
      <c r="L228" s="629">
        <f>2000000000+776082971</f>
        <v>2776082971</v>
      </c>
      <c r="M228" s="143">
        <f>2000000000+776082971</f>
        <v>2776082971</v>
      </c>
      <c r="N228" s="144"/>
      <c r="O228" s="144"/>
      <c r="P228" s="144"/>
      <c r="Q228" s="561"/>
      <c r="R228" s="492"/>
    </row>
    <row r="229" spans="2:21" s="362" customFormat="1" ht="15.75" customHeight="1" x14ac:dyDescent="0.25">
      <c r="B229" s="13"/>
      <c r="C229" s="39"/>
      <c r="D229" s="140"/>
      <c r="E229" s="109" t="s">
        <v>10</v>
      </c>
      <c r="F229" s="1533" t="s">
        <v>339</v>
      </c>
      <c r="G229" s="1534"/>
      <c r="H229" s="141" t="s">
        <v>340</v>
      </c>
      <c r="I229" s="370" t="s">
        <v>244</v>
      </c>
      <c r="J229" s="662">
        <v>200000000</v>
      </c>
      <c r="K229" s="662">
        <v>200000000</v>
      </c>
      <c r="L229" s="662">
        <v>200000000</v>
      </c>
      <c r="M229" s="371">
        <v>200000000</v>
      </c>
      <c r="N229" s="144"/>
      <c r="O229" s="144"/>
      <c r="P229" s="144"/>
      <c r="Q229" s="573"/>
      <c r="R229" s="492"/>
      <c r="S229" s="361"/>
      <c r="U229" s="361"/>
    </row>
    <row r="230" spans="2:21" ht="3.75" customHeight="1" x14ac:dyDescent="0.25">
      <c r="C230" s="363"/>
      <c r="D230" s="364"/>
      <c r="E230" s="276"/>
      <c r="F230" s="365"/>
      <c r="G230" s="366"/>
      <c r="H230" s="367"/>
      <c r="I230" s="368"/>
      <c r="J230" s="651"/>
      <c r="K230" s="651"/>
      <c r="L230" s="651"/>
      <c r="M230" s="290"/>
      <c r="N230" s="1007"/>
      <c r="O230" s="1007"/>
      <c r="Q230" s="572"/>
      <c r="U230" s="230"/>
    </row>
    <row r="231" spans="2:21" s="15" customFormat="1" ht="28.5" customHeight="1" x14ac:dyDescent="0.25">
      <c r="B231" s="13"/>
      <c r="C231" s="1506" t="s">
        <v>458</v>
      </c>
      <c r="D231" s="1507"/>
      <c r="E231" s="1535" t="s">
        <v>341</v>
      </c>
      <c r="F231" s="1536"/>
      <c r="G231" s="1537"/>
      <c r="H231" s="359" t="s">
        <v>342</v>
      </c>
      <c r="I231" s="360"/>
      <c r="J231" s="641">
        <f>SUM(J232:J236)</f>
        <v>1550000000</v>
      </c>
      <c r="K231" s="641">
        <f>SUM(K232:K236)</f>
        <v>1550000000</v>
      </c>
      <c r="L231" s="641">
        <f>SUM(L232:L236)</f>
        <v>1550000000</v>
      </c>
      <c r="M231" s="233">
        <f>SUM(M232:M236)</f>
        <v>1550000000</v>
      </c>
      <c r="N231" s="1001"/>
      <c r="O231" s="1001"/>
      <c r="P231" s="26"/>
      <c r="Q231" s="571"/>
      <c r="R231" s="495"/>
    </row>
    <row r="232" spans="2:21" s="29" customFormat="1" ht="21" customHeight="1" x14ac:dyDescent="0.25">
      <c r="B232" s="13"/>
      <c r="C232" s="39"/>
      <c r="D232" s="140"/>
      <c r="E232" s="109" t="s">
        <v>5</v>
      </c>
      <c r="F232" s="1533" t="s">
        <v>343</v>
      </c>
      <c r="G232" s="1534"/>
      <c r="H232" s="172" t="s">
        <v>344</v>
      </c>
      <c r="I232" s="370" t="s">
        <v>345</v>
      </c>
      <c r="J232" s="662">
        <v>600000000</v>
      </c>
      <c r="K232" s="662">
        <v>600000000</v>
      </c>
      <c r="L232" s="662">
        <v>600000000</v>
      </c>
      <c r="M232" s="371">
        <v>600000000</v>
      </c>
      <c r="N232" s="144"/>
      <c r="O232" s="144"/>
      <c r="P232" s="144"/>
      <c r="Q232" s="573"/>
      <c r="R232" s="492"/>
      <c r="U232" s="145"/>
    </row>
    <row r="233" spans="2:21" s="29" customFormat="1" ht="15.75" customHeight="1" x14ac:dyDescent="0.25">
      <c r="B233" s="13"/>
      <c r="C233" s="39"/>
      <c r="D233" s="140"/>
      <c r="E233" s="109" t="s">
        <v>10</v>
      </c>
      <c r="F233" s="1533" t="s">
        <v>346</v>
      </c>
      <c r="G233" s="1534"/>
      <c r="H233" s="369" t="s">
        <v>347</v>
      </c>
      <c r="I233" s="370" t="s">
        <v>348</v>
      </c>
      <c r="J233" s="662">
        <v>400000000</v>
      </c>
      <c r="K233" s="662">
        <v>400000000</v>
      </c>
      <c r="L233" s="662">
        <v>400000000</v>
      </c>
      <c r="M233" s="371">
        <v>400000000</v>
      </c>
      <c r="N233" s="144"/>
      <c r="O233" s="144"/>
      <c r="P233" s="144"/>
      <c r="Q233" s="573"/>
      <c r="R233" s="492"/>
      <c r="U233" s="145"/>
    </row>
    <row r="234" spans="2:21" s="29" customFormat="1" ht="25.5" customHeight="1" x14ac:dyDescent="0.25">
      <c r="B234" s="13"/>
      <c r="C234" s="39"/>
      <c r="D234" s="140"/>
      <c r="E234" s="109" t="s">
        <v>13</v>
      </c>
      <c r="F234" s="1531" t="s">
        <v>349</v>
      </c>
      <c r="G234" s="1532"/>
      <c r="H234" s="141" t="s">
        <v>350</v>
      </c>
      <c r="I234" s="142" t="s">
        <v>351</v>
      </c>
      <c r="J234" s="663">
        <v>200000000</v>
      </c>
      <c r="K234" s="663">
        <v>200000000</v>
      </c>
      <c r="L234" s="663">
        <v>200000000</v>
      </c>
      <c r="M234" s="372">
        <v>200000000</v>
      </c>
      <c r="N234" s="373"/>
      <c r="O234" s="373"/>
      <c r="P234" s="373"/>
      <c r="Q234" s="561"/>
      <c r="R234" s="492"/>
    </row>
    <row r="235" spans="2:21" s="29" customFormat="1" ht="26.25" customHeight="1" x14ac:dyDescent="0.25">
      <c r="B235" s="13"/>
      <c r="C235" s="39"/>
      <c r="D235" s="140"/>
      <c r="E235" s="109" t="s">
        <v>16</v>
      </c>
      <c r="F235" s="1533" t="s">
        <v>352</v>
      </c>
      <c r="G235" s="1534"/>
      <c r="H235" s="141" t="s">
        <v>350</v>
      </c>
      <c r="I235" s="142" t="s">
        <v>351</v>
      </c>
      <c r="J235" s="629">
        <v>200000000</v>
      </c>
      <c r="K235" s="629">
        <v>200000000</v>
      </c>
      <c r="L235" s="629">
        <v>200000000</v>
      </c>
      <c r="M235" s="143">
        <v>200000000</v>
      </c>
      <c r="N235" s="144"/>
      <c r="O235" s="144"/>
      <c r="P235" s="144"/>
      <c r="Q235" s="561"/>
      <c r="R235" s="492"/>
      <c r="U235" s="145"/>
    </row>
    <row r="236" spans="2:21" s="29" customFormat="1" ht="15.75" customHeight="1" x14ac:dyDescent="0.25">
      <c r="B236" s="13"/>
      <c r="C236" s="39"/>
      <c r="D236" s="140"/>
      <c r="E236" s="109" t="s">
        <v>19</v>
      </c>
      <c r="F236" s="1533" t="s">
        <v>353</v>
      </c>
      <c r="G236" s="1534"/>
      <c r="H236" s="141" t="s">
        <v>354</v>
      </c>
      <c r="I236" s="142" t="s">
        <v>92</v>
      </c>
      <c r="J236" s="629">
        <v>150000000</v>
      </c>
      <c r="K236" s="629">
        <v>150000000</v>
      </c>
      <c r="L236" s="629">
        <v>150000000</v>
      </c>
      <c r="M236" s="143">
        <v>150000000</v>
      </c>
      <c r="N236" s="144"/>
      <c r="O236" s="144"/>
      <c r="P236" s="144"/>
      <c r="Q236" s="561"/>
      <c r="R236" s="492"/>
      <c r="U236" s="145"/>
    </row>
    <row r="237" spans="2:21" s="229" customFormat="1" ht="4.5" customHeight="1" x14ac:dyDescent="0.25">
      <c r="B237" s="59"/>
      <c r="C237" s="374"/>
      <c r="D237" s="375"/>
      <c r="E237" s="375"/>
      <c r="F237" s="1527"/>
      <c r="G237" s="1528"/>
      <c r="H237" s="376"/>
      <c r="I237" s="377"/>
      <c r="J237" s="664"/>
      <c r="K237" s="664"/>
      <c r="L237" s="664"/>
      <c r="M237" s="378"/>
      <c r="N237" s="101"/>
      <c r="O237" s="101"/>
      <c r="P237" s="101"/>
      <c r="Q237" s="574"/>
      <c r="R237" s="491"/>
      <c r="U237" s="309"/>
    </row>
    <row r="238" spans="2:21" s="15" customFormat="1" ht="37.5" customHeight="1" x14ac:dyDescent="0.25">
      <c r="B238" s="13"/>
      <c r="C238" s="1501" t="s">
        <v>459</v>
      </c>
      <c r="D238" s="1502"/>
      <c r="E238" s="1512" t="s">
        <v>355</v>
      </c>
      <c r="F238" s="1513"/>
      <c r="G238" s="1514"/>
      <c r="H238" s="231" t="s">
        <v>356</v>
      </c>
      <c r="I238" s="379"/>
      <c r="J238" s="649">
        <f>J239+J242+J244+J247+J248+J249+J251+J252</f>
        <v>5200000000</v>
      </c>
      <c r="K238" s="649">
        <f>K239+K242+K244+K247+K248+K249+K251+K252</f>
        <v>5200000000</v>
      </c>
      <c r="L238" s="649">
        <f>L239+L242+L244+L247+L248+L249+L251+L252</f>
        <v>5200000000</v>
      </c>
      <c r="M238" s="283">
        <f>M239+M242+M244+M247+M248+M249+M251+M252</f>
        <v>5200000000</v>
      </c>
      <c r="N238" s="1005"/>
      <c r="O238" s="1005"/>
      <c r="P238" s="104"/>
      <c r="Q238" s="575"/>
      <c r="R238" s="14"/>
      <c r="S238" s="145"/>
      <c r="U238" s="145"/>
    </row>
    <row r="239" spans="2:21" s="82" customFormat="1" ht="24.75" customHeight="1" x14ac:dyDescent="0.25">
      <c r="B239" s="59"/>
      <c r="C239" s="49"/>
      <c r="D239" s="79"/>
      <c r="E239" s="140" t="s">
        <v>5</v>
      </c>
      <c r="F239" s="1529" t="s">
        <v>357</v>
      </c>
      <c r="G239" s="1530"/>
      <c r="H239" s="380" t="s">
        <v>358</v>
      </c>
      <c r="I239" s="381" t="s">
        <v>244</v>
      </c>
      <c r="J239" s="659">
        <f>J240+J241</f>
        <v>950000000</v>
      </c>
      <c r="K239" s="659">
        <f>K240+K241</f>
        <v>950000000</v>
      </c>
      <c r="L239" s="659">
        <f>L240+L241</f>
        <v>950000000</v>
      </c>
      <c r="M239" s="331">
        <f>M240+M241</f>
        <v>950000000</v>
      </c>
      <c r="N239" s="319"/>
      <c r="O239" s="319"/>
      <c r="P239" s="319"/>
      <c r="Q239" s="576"/>
      <c r="R239" s="504"/>
      <c r="S239" s="63"/>
      <c r="U239" s="63"/>
    </row>
    <row r="240" spans="2:21" s="82" customFormat="1" ht="16.5" customHeight="1" x14ac:dyDescent="0.25">
      <c r="B240" s="59"/>
      <c r="C240" s="49"/>
      <c r="D240" s="79"/>
      <c r="E240" s="40"/>
      <c r="F240" s="382" t="s">
        <v>46</v>
      </c>
      <c r="G240" s="383" t="s">
        <v>357</v>
      </c>
      <c r="H240" s="384"/>
      <c r="I240" s="385"/>
      <c r="J240" s="665">
        <v>550000000</v>
      </c>
      <c r="K240" s="665">
        <v>550000000</v>
      </c>
      <c r="L240" s="665">
        <v>550000000</v>
      </c>
      <c r="M240" s="386">
        <v>550000000</v>
      </c>
      <c r="N240" s="387"/>
      <c r="O240" s="387"/>
      <c r="P240" s="387"/>
      <c r="Q240" s="577"/>
      <c r="R240" s="506"/>
      <c r="S240" s="63"/>
      <c r="U240" s="63"/>
    </row>
    <row r="241" spans="2:21" s="306" customFormat="1" x14ac:dyDescent="0.25">
      <c r="B241" s="13"/>
      <c r="C241" s="263"/>
      <c r="D241" s="388"/>
      <c r="E241" s="156"/>
      <c r="F241" s="389" t="s">
        <v>46</v>
      </c>
      <c r="G241" s="390" t="s">
        <v>359</v>
      </c>
      <c r="H241" s="391"/>
      <c r="I241" s="392"/>
      <c r="J241" s="666">
        <v>400000000</v>
      </c>
      <c r="K241" s="666">
        <v>400000000</v>
      </c>
      <c r="L241" s="666">
        <v>400000000</v>
      </c>
      <c r="M241" s="393">
        <v>400000000</v>
      </c>
      <c r="N241" s="387"/>
      <c r="O241" s="387"/>
      <c r="P241" s="387"/>
      <c r="Q241" s="578"/>
      <c r="R241" s="506"/>
      <c r="U241" s="307"/>
    </row>
    <row r="242" spans="2:21" s="29" customFormat="1" ht="21.75" customHeight="1" x14ac:dyDescent="0.25">
      <c r="B242" s="13"/>
      <c r="C242" s="49"/>
      <c r="D242" s="79"/>
      <c r="E242" s="109" t="s">
        <v>10</v>
      </c>
      <c r="F242" s="1517" t="s">
        <v>360</v>
      </c>
      <c r="G242" s="1518"/>
      <c r="H242" s="394" t="s">
        <v>361</v>
      </c>
      <c r="I242" s="381" t="s">
        <v>244</v>
      </c>
      <c r="J242" s="667">
        <f>J243</f>
        <v>1000000000</v>
      </c>
      <c r="K242" s="667">
        <f>K243</f>
        <v>1000000000</v>
      </c>
      <c r="L242" s="667">
        <f>L243</f>
        <v>1000000000</v>
      </c>
      <c r="M242" s="395">
        <f>M243</f>
        <v>1000000000</v>
      </c>
      <c r="N242" s="319"/>
      <c r="O242" s="319"/>
      <c r="P242" s="319"/>
      <c r="Q242" s="576"/>
      <c r="R242" s="504"/>
      <c r="U242" s="145"/>
    </row>
    <row r="243" spans="2:21" s="306" customFormat="1" ht="27.75" customHeight="1" x14ac:dyDescent="0.25">
      <c r="B243" s="13"/>
      <c r="C243" s="263"/>
      <c r="D243" s="388"/>
      <c r="E243" s="156"/>
      <c r="F243" s="389" t="s">
        <v>46</v>
      </c>
      <c r="G243" s="390" t="s">
        <v>362</v>
      </c>
      <c r="H243" s="391"/>
      <c r="I243" s="392"/>
      <c r="J243" s="666">
        <v>1000000000</v>
      </c>
      <c r="K243" s="666">
        <v>1000000000</v>
      </c>
      <c r="L243" s="666">
        <v>1000000000</v>
      </c>
      <c r="M243" s="393">
        <v>1000000000</v>
      </c>
      <c r="N243" s="387"/>
      <c r="O243" s="387"/>
      <c r="P243" s="387"/>
      <c r="Q243" s="578"/>
      <c r="R243" s="506"/>
      <c r="S243" s="307"/>
      <c r="U243" s="307"/>
    </row>
    <row r="244" spans="2:21" s="29" customFormat="1" ht="21.75" customHeight="1" x14ac:dyDescent="0.25">
      <c r="B244" s="13"/>
      <c r="C244" s="49"/>
      <c r="D244" s="79"/>
      <c r="E244" s="109" t="s">
        <v>13</v>
      </c>
      <c r="F244" s="1519" t="s">
        <v>363</v>
      </c>
      <c r="G244" s="1520"/>
      <c r="H244" s="394" t="s">
        <v>364</v>
      </c>
      <c r="I244" s="381" t="s">
        <v>365</v>
      </c>
      <c r="J244" s="667">
        <f>SUM(J245:J246)</f>
        <v>550000000</v>
      </c>
      <c r="K244" s="667">
        <f>SUM(K245:K246)</f>
        <v>550000000</v>
      </c>
      <c r="L244" s="667">
        <f>SUM(L245:L246)</f>
        <v>550000000</v>
      </c>
      <c r="M244" s="395">
        <f>SUM(M245:M246)</f>
        <v>550000000</v>
      </c>
      <c r="N244" s="319"/>
      <c r="O244" s="319"/>
      <c r="P244" s="319"/>
      <c r="Q244" s="576"/>
      <c r="R244" s="504"/>
      <c r="S244" s="396"/>
      <c r="U244" s="145"/>
    </row>
    <row r="245" spans="2:21" s="306" customFormat="1" ht="15" customHeight="1" x14ac:dyDescent="0.25">
      <c r="B245" s="13"/>
      <c r="C245" s="263"/>
      <c r="D245" s="388"/>
      <c r="E245" s="156"/>
      <c r="F245" s="397" t="s">
        <v>46</v>
      </c>
      <c r="G245" s="398" t="s">
        <v>366</v>
      </c>
      <c r="H245" s="391"/>
      <c r="I245" s="392" t="s">
        <v>244</v>
      </c>
      <c r="J245" s="666">
        <v>300000000</v>
      </c>
      <c r="K245" s="666">
        <v>300000000</v>
      </c>
      <c r="L245" s="666">
        <v>300000000</v>
      </c>
      <c r="M245" s="393">
        <v>300000000</v>
      </c>
      <c r="N245" s="387"/>
      <c r="O245" s="387"/>
      <c r="P245" s="387"/>
      <c r="Q245" s="578"/>
      <c r="R245" s="506"/>
      <c r="U245" s="307"/>
    </row>
    <row r="246" spans="2:21" s="306" customFormat="1" ht="15" customHeight="1" x14ac:dyDescent="0.25">
      <c r="B246" s="13"/>
      <c r="C246" s="263"/>
      <c r="D246" s="388"/>
      <c r="E246" s="156"/>
      <c r="F246" s="397" t="s">
        <v>46</v>
      </c>
      <c r="G246" s="398" t="s">
        <v>367</v>
      </c>
      <c r="H246" s="391"/>
      <c r="I246" s="392" t="s">
        <v>244</v>
      </c>
      <c r="J246" s="666">
        <v>250000000</v>
      </c>
      <c r="K246" s="666">
        <v>250000000</v>
      </c>
      <c r="L246" s="666">
        <v>250000000</v>
      </c>
      <c r="M246" s="393">
        <v>250000000</v>
      </c>
      <c r="N246" s="387"/>
      <c r="O246" s="387"/>
      <c r="P246" s="387"/>
      <c r="Q246" s="578"/>
      <c r="R246" s="506"/>
      <c r="S246" s="307"/>
      <c r="U246" s="307"/>
    </row>
    <row r="247" spans="2:21" s="306" customFormat="1" ht="30.75" customHeight="1" x14ac:dyDescent="0.25">
      <c r="B247" s="13"/>
      <c r="C247" s="49"/>
      <c r="D247" s="79"/>
      <c r="E247" s="109" t="s">
        <v>16</v>
      </c>
      <c r="F247" s="1521" t="s">
        <v>368</v>
      </c>
      <c r="G247" s="1522"/>
      <c r="H247" s="354" t="s">
        <v>369</v>
      </c>
      <c r="I247" s="381">
        <v>0.2</v>
      </c>
      <c r="J247" s="667">
        <v>1000000000</v>
      </c>
      <c r="K247" s="667">
        <v>1000000000</v>
      </c>
      <c r="L247" s="667">
        <v>1000000000</v>
      </c>
      <c r="M247" s="395">
        <v>1000000000</v>
      </c>
      <c r="N247" s="319"/>
      <c r="O247" s="319"/>
      <c r="P247" s="319"/>
      <c r="Q247" s="576"/>
      <c r="R247" s="504"/>
      <c r="U247" s="307"/>
    </row>
    <row r="248" spans="2:21" s="306" customFormat="1" ht="22.5" customHeight="1" x14ac:dyDescent="0.25">
      <c r="B248" s="13"/>
      <c r="C248" s="399"/>
      <c r="D248" s="109"/>
      <c r="E248" s="109" t="s">
        <v>19</v>
      </c>
      <c r="F248" s="1517" t="s">
        <v>371</v>
      </c>
      <c r="G248" s="1518"/>
      <c r="H248" s="394" t="s">
        <v>372</v>
      </c>
      <c r="I248" s="381" t="s">
        <v>370</v>
      </c>
      <c r="J248" s="667">
        <v>600000000</v>
      </c>
      <c r="K248" s="667">
        <v>600000000</v>
      </c>
      <c r="L248" s="667">
        <v>600000000</v>
      </c>
      <c r="M248" s="395">
        <v>600000000</v>
      </c>
      <c r="N248" s="319"/>
      <c r="O248" s="319"/>
      <c r="P248" s="319"/>
      <c r="Q248" s="576"/>
      <c r="R248" s="504"/>
      <c r="U248" s="307"/>
    </row>
    <row r="249" spans="2:21" s="29" customFormat="1" ht="18.75" customHeight="1" x14ac:dyDescent="0.25">
      <c r="B249" s="13"/>
      <c r="C249" s="400"/>
      <c r="D249" s="77"/>
      <c r="E249" s="77" t="s">
        <v>27</v>
      </c>
      <c r="F249" s="1523" t="s">
        <v>373</v>
      </c>
      <c r="G249" s="1524"/>
      <c r="H249" s="401" t="s">
        <v>374</v>
      </c>
      <c r="I249" s="402" t="s">
        <v>370</v>
      </c>
      <c r="J249" s="659">
        <f>SUM(J250:J250)</f>
        <v>400000000</v>
      </c>
      <c r="K249" s="659">
        <f>SUM(K250:K250)</f>
        <v>400000000</v>
      </c>
      <c r="L249" s="659">
        <f>SUM(L250:L250)</f>
        <v>400000000</v>
      </c>
      <c r="M249" s="331">
        <f>SUM(M250:M250)</f>
        <v>400000000</v>
      </c>
      <c r="N249" s="319"/>
      <c r="O249" s="319"/>
      <c r="P249" s="319"/>
      <c r="Q249" s="579"/>
      <c r="R249" s="504"/>
      <c r="U249" s="145"/>
    </row>
    <row r="250" spans="2:21" s="306" customFormat="1" ht="16.5" customHeight="1" x14ac:dyDescent="0.25">
      <c r="B250" s="13"/>
      <c r="C250" s="403"/>
      <c r="D250" s="156"/>
      <c r="E250" s="156"/>
      <c r="F250" s="404" t="s">
        <v>46</v>
      </c>
      <c r="G250" s="405" t="s">
        <v>375</v>
      </c>
      <c r="H250" s="391"/>
      <c r="I250" s="392"/>
      <c r="J250" s="666">
        <v>400000000</v>
      </c>
      <c r="K250" s="666">
        <v>400000000</v>
      </c>
      <c r="L250" s="666">
        <v>400000000</v>
      </c>
      <c r="M250" s="393">
        <v>400000000</v>
      </c>
      <c r="N250" s="387"/>
      <c r="O250" s="387"/>
      <c r="P250" s="387"/>
      <c r="Q250" s="578"/>
      <c r="R250" s="506"/>
      <c r="U250" s="307"/>
    </row>
    <row r="251" spans="2:21" s="29" customFormat="1" ht="21" customHeight="1" x14ac:dyDescent="0.25">
      <c r="B251" s="13"/>
      <c r="C251" s="399"/>
      <c r="D251" s="109"/>
      <c r="E251" s="109" t="s">
        <v>30</v>
      </c>
      <c r="F251" s="1525" t="s">
        <v>376</v>
      </c>
      <c r="G251" s="1526"/>
      <c r="H251" s="354" t="s">
        <v>377</v>
      </c>
      <c r="I251" s="406" t="s">
        <v>370</v>
      </c>
      <c r="J251" s="668">
        <v>300000000</v>
      </c>
      <c r="K251" s="668">
        <v>300000000</v>
      </c>
      <c r="L251" s="668">
        <v>300000000</v>
      </c>
      <c r="M251" s="407">
        <v>300000000</v>
      </c>
      <c r="N251" s="319"/>
      <c r="O251" s="319"/>
      <c r="P251" s="319"/>
      <c r="Q251" s="580"/>
      <c r="R251" s="504"/>
      <c r="U251" s="145"/>
    </row>
    <row r="252" spans="2:21" s="29" customFormat="1" ht="21" customHeight="1" x14ac:dyDescent="0.25">
      <c r="B252" s="13"/>
      <c r="C252" s="399"/>
      <c r="D252" s="109"/>
      <c r="E252" s="109" t="s">
        <v>8</v>
      </c>
      <c r="F252" s="1510" t="s">
        <v>409</v>
      </c>
      <c r="G252" s="1511"/>
      <c r="H252" s="394" t="s">
        <v>410</v>
      </c>
      <c r="I252" s="381" t="s">
        <v>370</v>
      </c>
      <c r="J252" s="669">
        <v>400000000</v>
      </c>
      <c r="K252" s="669">
        <v>400000000</v>
      </c>
      <c r="L252" s="669">
        <v>400000000</v>
      </c>
      <c r="M252" s="408">
        <v>400000000</v>
      </c>
      <c r="N252" s="1014"/>
      <c r="O252" s="1014"/>
      <c r="P252" s="319"/>
      <c r="Q252" s="576"/>
      <c r="R252" s="504"/>
      <c r="U252" s="145"/>
    </row>
    <row r="253" spans="2:21" s="29" customFormat="1" ht="3.75" customHeight="1" x14ac:dyDescent="0.25">
      <c r="B253" s="13"/>
      <c r="C253" s="399"/>
      <c r="D253" s="109"/>
      <c r="E253" s="109"/>
      <c r="F253" s="409"/>
      <c r="G253" s="410"/>
      <c r="H253" s="354"/>
      <c r="I253" s="406"/>
      <c r="J253" s="670"/>
      <c r="K253" s="670"/>
      <c r="L253" s="670"/>
      <c r="M253" s="411"/>
      <c r="N253" s="1014"/>
      <c r="O253" s="1014"/>
      <c r="P253" s="319"/>
      <c r="Q253" s="580"/>
      <c r="R253" s="504"/>
      <c r="U253" s="145"/>
    </row>
    <row r="254" spans="2:21" s="29" customFormat="1" ht="35.25" customHeight="1" x14ac:dyDescent="0.25">
      <c r="B254" s="13"/>
      <c r="C254" s="1501" t="s">
        <v>460</v>
      </c>
      <c r="D254" s="1502"/>
      <c r="E254" s="1512" t="s">
        <v>378</v>
      </c>
      <c r="F254" s="1513"/>
      <c r="G254" s="1514"/>
      <c r="H254" s="412" t="s">
        <v>379</v>
      </c>
      <c r="I254" s="413"/>
      <c r="J254" s="649">
        <f>J255+J256+J257</f>
        <v>500000000</v>
      </c>
      <c r="K254" s="649">
        <f>K255+K256+K257</f>
        <v>500000000</v>
      </c>
      <c r="L254" s="649">
        <f>L255+L256+L257</f>
        <v>500000000</v>
      </c>
      <c r="M254" s="283">
        <f>M255+M256+M257</f>
        <v>500000000</v>
      </c>
      <c r="N254" s="1005"/>
      <c r="O254" s="1005"/>
      <c r="P254" s="104"/>
      <c r="Q254" s="581"/>
      <c r="R254" s="14"/>
      <c r="U254" s="145"/>
    </row>
    <row r="255" spans="2:21" s="29" customFormat="1" ht="23.25" customHeight="1" x14ac:dyDescent="0.25">
      <c r="B255" s="13"/>
      <c r="C255" s="399"/>
      <c r="D255" s="109"/>
      <c r="E255" s="109" t="s">
        <v>5</v>
      </c>
      <c r="F255" s="1515" t="s">
        <v>380</v>
      </c>
      <c r="G255" s="1516"/>
      <c r="H255" s="401" t="s">
        <v>381</v>
      </c>
      <c r="I255" s="402" t="s">
        <v>244</v>
      </c>
      <c r="J255" s="659">
        <v>175000000</v>
      </c>
      <c r="K255" s="659">
        <v>175000000</v>
      </c>
      <c r="L255" s="659">
        <v>175000000</v>
      </c>
      <c r="M255" s="331">
        <v>175000000</v>
      </c>
      <c r="N255" s="319"/>
      <c r="O255" s="319"/>
      <c r="P255" s="319"/>
      <c r="Q255" s="579"/>
      <c r="R255" s="504"/>
      <c r="U255" s="145"/>
    </row>
    <row r="256" spans="2:21" s="29" customFormat="1" ht="27.75" customHeight="1" x14ac:dyDescent="0.25">
      <c r="B256" s="13"/>
      <c r="C256" s="399"/>
      <c r="D256" s="109"/>
      <c r="E256" s="109" t="s">
        <v>10</v>
      </c>
      <c r="F256" s="1510" t="s">
        <v>382</v>
      </c>
      <c r="G256" s="1511"/>
      <c r="H256" s="394" t="s">
        <v>383</v>
      </c>
      <c r="I256" s="381" t="s">
        <v>244</v>
      </c>
      <c r="J256" s="667">
        <v>175000000</v>
      </c>
      <c r="K256" s="667">
        <v>175000000</v>
      </c>
      <c r="L256" s="667">
        <v>175000000</v>
      </c>
      <c r="M256" s="395">
        <v>175000000</v>
      </c>
      <c r="N256" s="319"/>
      <c r="O256" s="319"/>
      <c r="P256" s="319"/>
      <c r="Q256" s="576"/>
      <c r="R256" s="504"/>
      <c r="U256" s="145"/>
    </row>
    <row r="257" spans="2:21" s="29" customFormat="1" ht="30.75" customHeight="1" x14ac:dyDescent="0.25">
      <c r="B257" s="13"/>
      <c r="C257" s="399"/>
      <c r="D257" s="109"/>
      <c r="E257" s="109" t="s">
        <v>13</v>
      </c>
      <c r="F257" s="1510" t="s">
        <v>384</v>
      </c>
      <c r="G257" s="1511"/>
      <c r="H257" s="394" t="s">
        <v>385</v>
      </c>
      <c r="I257" s="381" t="s">
        <v>244</v>
      </c>
      <c r="J257" s="667">
        <v>150000000</v>
      </c>
      <c r="K257" s="667">
        <v>150000000</v>
      </c>
      <c r="L257" s="667">
        <v>150000000</v>
      </c>
      <c r="M257" s="395">
        <v>150000000</v>
      </c>
      <c r="N257" s="319"/>
      <c r="O257" s="319"/>
      <c r="P257" s="319"/>
      <c r="Q257" s="576"/>
      <c r="R257" s="504"/>
      <c r="U257" s="145"/>
    </row>
    <row r="258" spans="2:21" s="29" customFormat="1" ht="16.5" hidden="1" customHeight="1" x14ac:dyDescent="0.25">
      <c r="B258" s="13"/>
      <c r="C258" s="399"/>
      <c r="D258" s="109"/>
      <c r="E258" s="109"/>
      <c r="F258" s="404" t="s">
        <v>46</v>
      </c>
      <c r="G258" s="405" t="s">
        <v>386</v>
      </c>
      <c r="H258" s="391"/>
      <c r="I258" s="392"/>
      <c r="J258" s="671">
        <v>300000000</v>
      </c>
      <c r="K258" s="671">
        <v>300000000</v>
      </c>
      <c r="L258" s="671">
        <v>300000000</v>
      </c>
      <c r="M258" s="414">
        <v>300000000</v>
      </c>
      <c r="N258" s="1015"/>
      <c r="O258" s="1015"/>
      <c r="P258" s="387"/>
      <c r="Q258" s="578"/>
      <c r="R258" s="506"/>
      <c r="U258" s="145"/>
    </row>
    <row r="259" spans="2:21" ht="3.75" customHeight="1" x14ac:dyDescent="0.25">
      <c r="C259" s="415"/>
      <c r="D259" s="338"/>
      <c r="E259" s="338"/>
      <c r="F259" s="416"/>
      <c r="G259" s="417"/>
      <c r="H259" s="367"/>
      <c r="I259" s="418"/>
      <c r="J259" s="648"/>
      <c r="K259" s="648"/>
      <c r="L259" s="648"/>
      <c r="M259" s="281"/>
      <c r="N259" s="993"/>
      <c r="O259" s="993"/>
      <c r="P259" s="101"/>
      <c r="Q259" s="582"/>
      <c r="R259" s="491"/>
      <c r="U259" s="230"/>
    </row>
    <row r="260" spans="2:21" s="15" customFormat="1" ht="36.75" customHeight="1" x14ac:dyDescent="0.25">
      <c r="B260" s="13"/>
      <c r="C260" s="1501" t="s">
        <v>461</v>
      </c>
      <c r="D260" s="1502"/>
      <c r="E260" s="1512" t="s">
        <v>387</v>
      </c>
      <c r="F260" s="1513"/>
      <c r="G260" s="1514"/>
      <c r="H260" s="231" t="s">
        <v>388</v>
      </c>
      <c r="I260" s="379"/>
      <c r="J260" s="649">
        <f>J261</f>
        <v>300000000</v>
      </c>
      <c r="K260" s="649">
        <f>K261</f>
        <v>300000000</v>
      </c>
      <c r="L260" s="649">
        <f>L261</f>
        <v>300000000</v>
      </c>
      <c r="M260" s="283">
        <f>M261</f>
        <v>300000000</v>
      </c>
      <c r="N260" s="1005"/>
      <c r="O260" s="1005"/>
      <c r="P260" s="104"/>
      <c r="Q260" s="575"/>
      <c r="R260" s="14"/>
      <c r="U260" s="145"/>
    </row>
    <row r="261" spans="2:21" s="29" customFormat="1" ht="31.5" customHeight="1" x14ac:dyDescent="0.25">
      <c r="B261" s="13"/>
      <c r="C261" s="76"/>
      <c r="D261" s="77"/>
      <c r="E261" s="77" t="s">
        <v>5</v>
      </c>
      <c r="F261" s="1503" t="s">
        <v>390</v>
      </c>
      <c r="G261" s="1504"/>
      <c r="H261" s="293" t="s">
        <v>388</v>
      </c>
      <c r="I261" s="419">
        <v>1</v>
      </c>
      <c r="J261" s="659">
        <v>300000000</v>
      </c>
      <c r="K261" s="659">
        <v>300000000</v>
      </c>
      <c r="L261" s="659">
        <v>300000000</v>
      </c>
      <c r="M261" s="331">
        <v>300000000</v>
      </c>
      <c r="N261" s="319"/>
      <c r="O261" s="319"/>
      <c r="P261" s="319"/>
      <c r="Q261" s="583"/>
      <c r="R261" s="504"/>
      <c r="U261" s="145"/>
    </row>
    <row r="262" spans="2:21" ht="3" customHeight="1" thickBot="1" x14ac:dyDescent="0.3">
      <c r="C262" s="420"/>
      <c r="D262" s="421"/>
      <c r="E262" s="421"/>
      <c r="F262" s="422"/>
      <c r="G262" s="423"/>
      <c r="H262" s="424"/>
      <c r="I262" s="425"/>
      <c r="J262" s="672"/>
      <c r="K262" s="672"/>
      <c r="L262" s="672"/>
      <c r="M262" s="426"/>
      <c r="N262" s="993"/>
      <c r="O262" s="993"/>
      <c r="P262" s="101"/>
      <c r="Q262" s="539"/>
      <c r="R262" s="491"/>
    </row>
    <row r="263" spans="2:21" ht="13.5" thickTop="1" x14ac:dyDescent="0.25"/>
    <row r="264" spans="2:21" s="1096" customFormat="1" ht="45.75" customHeight="1" x14ac:dyDescent="0.25">
      <c r="B264" s="1087"/>
      <c r="C264" s="1088"/>
      <c r="D264" s="1089"/>
      <c r="E264" s="1089"/>
      <c r="F264" s="1089"/>
      <c r="G264" s="1090"/>
      <c r="H264" s="1091"/>
      <c r="I264" s="1092"/>
      <c r="J264" s="1097" t="s">
        <v>519</v>
      </c>
      <c r="K264" s="1097" t="s">
        <v>520</v>
      </c>
      <c r="L264" s="1097" t="s">
        <v>521</v>
      </c>
      <c r="M264" s="1097" t="s">
        <v>522</v>
      </c>
      <c r="N264" s="1093"/>
      <c r="O264" s="1093"/>
      <c r="P264" s="1094"/>
      <c r="Q264" s="1092"/>
      <c r="R264" s="1095"/>
    </row>
  </sheetData>
  <mergeCells count="168">
    <mergeCell ref="F255:G255"/>
    <mergeCell ref="F256:G256"/>
    <mergeCell ref="F257:G257"/>
    <mergeCell ref="C260:D260"/>
    <mergeCell ref="E260:G260"/>
    <mergeCell ref="F261:G261"/>
    <mergeCell ref="F248:G248"/>
    <mergeCell ref="F249:G249"/>
    <mergeCell ref="F251:G251"/>
    <mergeCell ref="F252:G252"/>
    <mergeCell ref="C254:D254"/>
    <mergeCell ref="E254:G254"/>
    <mergeCell ref="C238:D238"/>
    <mergeCell ref="E238:G238"/>
    <mergeCell ref="F239:G239"/>
    <mergeCell ref="F242:G242"/>
    <mergeCell ref="F244:G244"/>
    <mergeCell ref="F247:G247"/>
    <mergeCell ref="F232:G232"/>
    <mergeCell ref="F233:G233"/>
    <mergeCell ref="F234:G234"/>
    <mergeCell ref="F235:G235"/>
    <mergeCell ref="F236:G236"/>
    <mergeCell ref="F237:G237"/>
    <mergeCell ref="C227:D227"/>
    <mergeCell ref="E227:G227"/>
    <mergeCell ref="F228:G228"/>
    <mergeCell ref="F229:G229"/>
    <mergeCell ref="C231:D231"/>
    <mergeCell ref="E231:G231"/>
    <mergeCell ref="F221:G221"/>
    <mergeCell ref="F222:G222"/>
    <mergeCell ref="C223:D223"/>
    <mergeCell ref="E223:G223"/>
    <mergeCell ref="F224:G224"/>
    <mergeCell ref="F225:G225"/>
    <mergeCell ref="F213:G213"/>
    <mergeCell ref="F214:G214"/>
    <mergeCell ref="F217:G217"/>
    <mergeCell ref="F218:G218"/>
    <mergeCell ref="F219:G219"/>
    <mergeCell ref="F220:G220"/>
    <mergeCell ref="F193:G193"/>
    <mergeCell ref="F196:G196"/>
    <mergeCell ref="F200:G200"/>
    <mergeCell ref="F203:G203"/>
    <mergeCell ref="F206:G206"/>
    <mergeCell ref="F210:G210"/>
    <mergeCell ref="F180:G180"/>
    <mergeCell ref="C182:D182"/>
    <mergeCell ref="E182:G182"/>
    <mergeCell ref="F183:G183"/>
    <mergeCell ref="F187:G187"/>
    <mergeCell ref="F190:G190"/>
    <mergeCell ref="F173:G173"/>
    <mergeCell ref="C174:D174"/>
    <mergeCell ref="E174:G174"/>
    <mergeCell ref="F175:G175"/>
    <mergeCell ref="F176:G176"/>
    <mergeCell ref="F178:G178"/>
    <mergeCell ref="F168:G168"/>
    <mergeCell ref="C169:D169"/>
    <mergeCell ref="E169:G169"/>
    <mergeCell ref="F170:G170"/>
    <mergeCell ref="F171:G171"/>
    <mergeCell ref="F172:G172"/>
    <mergeCell ref="F162:G162"/>
    <mergeCell ref="F163:G163"/>
    <mergeCell ref="F164:G164"/>
    <mergeCell ref="F165:G165"/>
    <mergeCell ref="F166:G166"/>
    <mergeCell ref="F167:G167"/>
    <mergeCell ref="F153:G153"/>
    <mergeCell ref="F154:G154"/>
    <mergeCell ref="F155:G155"/>
    <mergeCell ref="F156:G156"/>
    <mergeCell ref="F157:G157"/>
    <mergeCell ref="F161:G161"/>
    <mergeCell ref="F144:G144"/>
    <mergeCell ref="F145:G145"/>
    <mergeCell ref="F146:G146"/>
    <mergeCell ref="F147:G147"/>
    <mergeCell ref="F151:G151"/>
    <mergeCell ref="F152:G152"/>
    <mergeCell ref="F128:G128"/>
    <mergeCell ref="F130:G130"/>
    <mergeCell ref="F132:G132"/>
    <mergeCell ref="F137:G137"/>
    <mergeCell ref="C143:D143"/>
    <mergeCell ref="E143:G143"/>
    <mergeCell ref="F97:G97"/>
    <mergeCell ref="F102:G102"/>
    <mergeCell ref="F112:G112"/>
    <mergeCell ref="F115:G115"/>
    <mergeCell ref="F120:G120"/>
    <mergeCell ref="F126:G126"/>
    <mergeCell ref="F68:G68"/>
    <mergeCell ref="F69:G69"/>
    <mergeCell ref="F76:G76"/>
    <mergeCell ref="F90:G90"/>
    <mergeCell ref="F91:G91"/>
    <mergeCell ref="F93:G93"/>
    <mergeCell ref="F55:G55"/>
    <mergeCell ref="F59:G59"/>
    <mergeCell ref="F62:G62"/>
    <mergeCell ref="F63:G63"/>
    <mergeCell ref="F66:G66"/>
    <mergeCell ref="F67:G67"/>
    <mergeCell ref="E49:G49"/>
    <mergeCell ref="E50:G50"/>
    <mergeCell ref="D52:I52"/>
    <mergeCell ref="C53:D53"/>
    <mergeCell ref="E53:G53"/>
    <mergeCell ref="F54:G54"/>
    <mergeCell ref="D43:G43"/>
    <mergeCell ref="E44:G44"/>
    <mergeCell ref="E45:G45"/>
    <mergeCell ref="D46:G46"/>
    <mergeCell ref="E47:G47"/>
    <mergeCell ref="E48:G48"/>
    <mergeCell ref="E37:G37"/>
    <mergeCell ref="E38:G38"/>
    <mergeCell ref="F39:G39"/>
    <mergeCell ref="D40:G40"/>
    <mergeCell ref="E41:G41"/>
    <mergeCell ref="E42:G42"/>
    <mergeCell ref="F31:G31"/>
    <mergeCell ref="F32:G32"/>
    <mergeCell ref="E33:G33"/>
    <mergeCell ref="F34:G34"/>
    <mergeCell ref="F35:G35"/>
    <mergeCell ref="E36:G36"/>
    <mergeCell ref="E25:G25"/>
    <mergeCell ref="E26:G26"/>
    <mergeCell ref="E27:G27"/>
    <mergeCell ref="E28:G28"/>
    <mergeCell ref="E29:G29"/>
    <mergeCell ref="F30:G30"/>
    <mergeCell ref="E19:G19"/>
    <mergeCell ref="E20:G20"/>
    <mergeCell ref="E21:G21"/>
    <mergeCell ref="E22:G22"/>
    <mergeCell ref="F23:G23"/>
    <mergeCell ref="D24:G24"/>
    <mergeCell ref="D13:G13"/>
    <mergeCell ref="E14:G14"/>
    <mergeCell ref="E15:G15"/>
    <mergeCell ref="E16:G16"/>
    <mergeCell ref="E17:G17"/>
    <mergeCell ref="E18:G18"/>
    <mergeCell ref="M8:M9"/>
    <mergeCell ref="Q8:Q9"/>
    <mergeCell ref="C10:E10"/>
    <mergeCell ref="F10:G10"/>
    <mergeCell ref="D11:G11"/>
    <mergeCell ref="D12:I12"/>
    <mergeCell ref="J8:J9"/>
    <mergeCell ref="L8:L9"/>
    <mergeCell ref="C2:M2"/>
    <mergeCell ref="C3:P3"/>
    <mergeCell ref="C4:P4"/>
    <mergeCell ref="C6:D6"/>
    <mergeCell ref="E6:G6"/>
    <mergeCell ref="C8:E9"/>
    <mergeCell ref="F8:G9"/>
    <mergeCell ref="H8:H9"/>
    <mergeCell ref="I8:I9"/>
    <mergeCell ref="K8:K9"/>
  </mergeCells>
  <printOptions horizontalCentered="1"/>
  <pageMargins left="0.43307086614173229" right="0.43307086614173229" top="0.59055118110236227" bottom="0.39370078740157483" header="0" footer="0"/>
  <pageSetup paperSize="9" scale="80" fitToHeight="0" orientation="landscape" useFirstPageNumber="1" r:id="rId1"/>
  <headerFooter>
    <oddFooter>&amp;L&amp;"Cambria,Italic"&amp;7&amp;K05-049&amp;F / &amp;A&amp;C&amp;"Cambria,Italic"&amp;7&amp;K04-021Hal &amp;P dari &amp;N&amp;R&amp;"-,Italic"&amp;7&amp;K09-022&amp;D /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2:P29"/>
  <sheetViews>
    <sheetView zoomScale="85" zoomScaleNormal="85" zoomScaleSheetLayoutView="115" workbookViewId="0">
      <selection activeCell="H11" sqref="H11"/>
    </sheetView>
  </sheetViews>
  <sheetFormatPr defaultRowHeight="12.75" x14ac:dyDescent="0.25"/>
  <cols>
    <col min="1" max="1" width="9" style="53" customWidth="1"/>
    <col min="2" max="2" width="0.5703125" style="13" customWidth="1"/>
    <col min="3" max="3" width="3.28515625" style="427" customWidth="1"/>
    <col min="4" max="4" width="4.140625" style="428" customWidth="1"/>
    <col min="5" max="5" width="3.5703125" style="428" customWidth="1"/>
    <col min="6" max="6" width="2.7109375" style="428" customWidth="1"/>
    <col min="7" max="7" width="56.7109375" style="429" customWidth="1"/>
    <col min="8" max="9" width="18.42578125" style="432" customWidth="1"/>
    <col min="10" max="10" width="0.5703125" style="432" customWidth="1"/>
    <col min="11" max="11" width="0.42578125" style="291" customWidth="1"/>
    <col min="12" max="12" width="17.5703125" style="431" customWidth="1"/>
    <col min="13" max="13" width="4.85546875" style="500" customWidth="1"/>
    <col min="14" max="16" width="14.140625" style="53" customWidth="1"/>
    <col min="17" max="25" width="10.5703125" style="53" customWidth="1"/>
    <col min="26" max="231" width="9.140625" style="53"/>
    <col min="232" max="232" width="1.7109375" style="53" customWidth="1"/>
    <col min="233" max="234" width="4.7109375" style="53" customWidth="1"/>
    <col min="235" max="235" width="54.140625" style="53" customWidth="1"/>
    <col min="236" max="236" width="52" style="53" customWidth="1"/>
    <col min="237" max="237" width="5.28515625" style="53" customWidth="1"/>
    <col min="238" max="238" width="5.85546875" style="53" bestFit="1" customWidth="1"/>
    <col min="239" max="239" width="16.42578125" style="53" customWidth="1"/>
    <col min="240" max="240" width="4.5703125" style="53" customWidth="1"/>
    <col min="241" max="241" width="14.140625" style="53" customWidth="1"/>
    <col min="242" max="242" width="27.140625" style="53" customWidth="1"/>
    <col min="243" max="243" width="16.28515625" style="53" customWidth="1"/>
    <col min="244" max="244" width="13.85546875" style="53" customWidth="1"/>
    <col min="245" max="487" width="9.140625" style="53"/>
    <col min="488" max="488" width="1.7109375" style="53" customWidth="1"/>
    <col min="489" max="490" width="4.7109375" style="53" customWidth="1"/>
    <col min="491" max="491" width="54.140625" style="53" customWidth="1"/>
    <col min="492" max="492" width="52" style="53" customWidth="1"/>
    <col min="493" max="493" width="5.28515625" style="53" customWidth="1"/>
    <col min="494" max="494" width="5.85546875" style="53" bestFit="1" customWidth="1"/>
    <col min="495" max="495" width="16.42578125" style="53" customWidth="1"/>
    <col min="496" max="496" width="4.5703125" style="53" customWidth="1"/>
    <col min="497" max="497" width="14.140625" style="53" customWidth="1"/>
    <col min="498" max="498" width="27.140625" style="53" customWidth="1"/>
    <col min="499" max="499" width="16.28515625" style="53" customWidth="1"/>
    <col min="500" max="500" width="13.85546875" style="53" customWidth="1"/>
    <col min="501" max="743" width="9.140625" style="53"/>
    <col min="744" max="744" width="1.7109375" style="53" customWidth="1"/>
    <col min="745" max="746" width="4.7109375" style="53" customWidth="1"/>
    <col min="747" max="747" width="54.140625" style="53" customWidth="1"/>
    <col min="748" max="748" width="52" style="53" customWidth="1"/>
    <col min="749" max="749" width="5.28515625" style="53" customWidth="1"/>
    <col min="750" max="750" width="5.85546875" style="53" bestFit="1" customWidth="1"/>
    <col min="751" max="751" width="16.42578125" style="53" customWidth="1"/>
    <col min="752" max="752" width="4.5703125" style="53" customWidth="1"/>
    <col min="753" max="753" width="14.140625" style="53" customWidth="1"/>
    <col min="754" max="754" width="27.140625" style="53" customWidth="1"/>
    <col min="755" max="755" width="16.28515625" style="53" customWidth="1"/>
    <col min="756" max="756" width="13.85546875" style="53" customWidth="1"/>
    <col min="757" max="999" width="9.140625" style="53"/>
    <col min="1000" max="1000" width="1.7109375" style="53" customWidth="1"/>
    <col min="1001" max="1002" width="4.7109375" style="53" customWidth="1"/>
    <col min="1003" max="1003" width="54.140625" style="53" customWidth="1"/>
    <col min="1004" max="1004" width="52" style="53" customWidth="1"/>
    <col min="1005" max="1005" width="5.28515625" style="53" customWidth="1"/>
    <col min="1006" max="1006" width="5.85546875" style="53" bestFit="1" customWidth="1"/>
    <col min="1007" max="1007" width="16.42578125" style="53" customWidth="1"/>
    <col min="1008" max="1008" width="4.5703125" style="53" customWidth="1"/>
    <col min="1009" max="1009" width="14.140625" style="53" customWidth="1"/>
    <col min="1010" max="1010" width="27.140625" style="53" customWidth="1"/>
    <col min="1011" max="1011" width="16.28515625" style="53" customWidth="1"/>
    <col min="1012" max="1012" width="13.85546875" style="53" customWidth="1"/>
    <col min="1013" max="1255" width="9.140625" style="53"/>
    <col min="1256" max="1256" width="1.7109375" style="53" customWidth="1"/>
    <col min="1257" max="1258" width="4.7109375" style="53" customWidth="1"/>
    <col min="1259" max="1259" width="54.140625" style="53" customWidth="1"/>
    <col min="1260" max="1260" width="52" style="53" customWidth="1"/>
    <col min="1261" max="1261" width="5.28515625" style="53" customWidth="1"/>
    <col min="1262" max="1262" width="5.85546875" style="53" bestFit="1" customWidth="1"/>
    <col min="1263" max="1263" width="16.42578125" style="53" customWidth="1"/>
    <col min="1264" max="1264" width="4.5703125" style="53" customWidth="1"/>
    <col min="1265" max="1265" width="14.140625" style="53" customWidth="1"/>
    <col min="1266" max="1266" width="27.140625" style="53" customWidth="1"/>
    <col min="1267" max="1267" width="16.28515625" style="53" customWidth="1"/>
    <col min="1268" max="1268" width="13.85546875" style="53" customWidth="1"/>
    <col min="1269" max="1511" width="9.140625" style="53"/>
    <col min="1512" max="1512" width="1.7109375" style="53" customWidth="1"/>
    <col min="1513" max="1514" width="4.7109375" style="53" customWidth="1"/>
    <col min="1515" max="1515" width="54.140625" style="53" customWidth="1"/>
    <col min="1516" max="1516" width="52" style="53" customWidth="1"/>
    <col min="1517" max="1517" width="5.28515625" style="53" customWidth="1"/>
    <col min="1518" max="1518" width="5.85546875" style="53" bestFit="1" customWidth="1"/>
    <col min="1519" max="1519" width="16.42578125" style="53" customWidth="1"/>
    <col min="1520" max="1520" width="4.5703125" style="53" customWidth="1"/>
    <col min="1521" max="1521" width="14.140625" style="53" customWidth="1"/>
    <col min="1522" max="1522" width="27.140625" style="53" customWidth="1"/>
    <col min="1523" max="1523" width="16.28515625" style="53" customWidth="1"/>
    <col min="1524" max="1524" width="13.85546875" style="53" customWidth="1"/>
    <col min="1525" max="1767" width="9.140625" style="53"/>
    <col min="1768" max="1768" width="1.7109375" style="53" customWidth="1"/>
    <col min="1769" max="1770" width="4.7109375" style="53" customWidth="1"/>
    <col min="1771" max="1771" width="54.140625" style="53" customWidth="1"/>
    <col min="1772" max="1772" width="52" style="53" customWidth="1"/>
    <col min="1773" max="1773" width="5.28515625" style="53" customWidth="1"/>
    <col min="1774" max="1774" width="5.85546875" style="53" bestFit="1" customWidth="1"/>
    <col min="1775" max="1775" width="16.42578125" style="53" customWidth="1"/>
    <col min="1776" max="1776" width="4.5703125" style="53" customWidth="1"/>
    <col min="1777" max="1777" width="14.140625" style="53" customWidth="1"/>
    <col min="1778" max="1778" width="27.140625" style="53" customWidth="1"/>
    <col min="1779" max="1779" width="16.28515625" style="53" customWidth="1"/>
    <col min="1780" max="1780" width="13.85546875" style="53" customWidth="1"/>
    <col min="1781" max="2023" width="9.140625" style="53"/>
    <col min="2024" max="2024" width="1.7109375" style="53" customWidth="1"/>
    <col min="2025" max="2026" width="4.7109375" style="53" customWidth="1"/>
    <col min="2027" max="2027" width="54.140625" style="53" customWidth="1"/>
    <col min="2028" max="2028" width="52" style="53" customWidth="1"/>
    <col min="2029" max="2029" width="5.28515625" style="53" customWidth="1"/>
    <col min="2030" max="2030" width="5.85546875" style="53" bestFit="1" customWidth="1"/>
    <col min="2031" max="2031" width="16.42578125" style="53" customWidth="1"/>
    <col min="2032" max="2032" width="4.5703125" style="53" customWidth="1"/>
    <col min="2033" max="2033" width="14.140625" style="53" customWidth="1"/>
    <col min="2034" max="2034" width="27.140625" style="53" customWidth="1"/>
    <col min="2035" max="2035" width="16.28515625" style="53" customWidth="1"/>
    <col min="2036" max="2036" width="13.85546875" style="53" customWidth="1"/>
    <col min="2037" max="2279" width="9.140625" style="53"/>
    <col min="2280" max="2280" width="1.7109375" style="53" customWidth="1"/>
    <col min="2281" max="2282" width="4.7109375" style="53" customWidth="1"/>
    <col min="2283" max="2283" width="54.140625" style="53" customWidth="1"/>
    <col min="2284" max="2284" width="52" style="53" customWidth="1"/>
    <col min="2285" max="2285" width="5.28515625" style="53" customWidth="1"/>
    <col min="2286" max="2286" width="5.85546875" style="53" bestFit="1" customWidth="1"/>
    <col min="2287" max="2287" width="16.42578125" style="53" customWidth="1"/>
    <col min="2288" max="2288" width="4.5703125" style="53" customWidth="1"/>
    <col min="2289" max="2289" width="14.140625" style="53" customWidth="1"/>
    <col min="2290" max="2290" width="27.140625" style="53" customWidth="1"/>
    <col min="2291" max="2291" width="16.28515625" style="53" customWidth="1"/>
    <col min="2292" max="2292" width="13.85546875" style="53" customWidth="1"/>
    <col min="2293" max="2535" width="9.140625" style="53"/>
    <col min="2536" max="2536" width="1.7109375" style="53" customWidth="1"/>
    <col min="2537" max="2538" width="4.7109375" style="53" customWidth="1"/>
    <col min="2539" max="2539" width="54.140625" style="53" customWidth="1"/>
    <col min="2540" max="2540" width="52" style="53" customWidth="1"/>
    <col min="2541" max="2541" width="5.28515625" style="53" customWidth="1"/>
    <col min="2542" max="2542" width="5.85546875" style="53" bestFit="1" customWidth="1"/>
    <col min="2543" max="2543" width="16.42578125" style="53" customWidth="1"/>
    <col min="2544" max="2544" width="4.5703125" style="53" customWidth="1"/>
    <col min="2545" max="2545" width="14.140625" style="53" customWidth="1"/>
    <col min="2546" max="2546" width="27.140625" style="53" customWidth="1"/>
    <col min="2547" max="2547" width="16.28515625" style="53" customWidth="1"/>
    <col min="2548" max="2548" width="13.85546875" style="53" customWidth="1"/>
    <col min="2549" max="2791" width="9.140625" style="53"/>
    <col min="2792" max="2792" width="1.7109375" style="53" customWidth="1"/>
    <col min="2793" max="2794" width="4.7109375" style="53" customWidth="1"/>
    <col min="2795" max="2795" width="54.140625" style="53" customWidth="1"/>
    <col min="2796" max="2796" width="52" style="53" customWidth="1"/>
    <col min="2797" max="2797" width="5.28515625" style="53" customWidth="1"/>
    <col min="2798" max="2798" width="5.85546875" style="53" bestFit="1" customWidth="1"/>
    <col min="2799" max="2799" width="16.42578125" style="53" customWidth="1"/>
    <col min="2800" max="2800" width="4.5703125" style="53" customWidth="1"/>
    <col min="2801" max="2801" width="14.140625" style="53" customWidth="1"/>
    <col min="2802" max="2802" width="27.140625" style="53" customWidth="1"/>
    <col min="2803" max="2803" width="16.28515625" style="53" customWidth="1"/>
    <col min="2804" max="2804" width="13.85546875" style="53" customWidth="1"/>
    <col min="2805" max="3047" width="9.140625" style="53"/>
    <col min="3048" max="3048" width="1.7109375" style="53" customWidth="1"/>
    <col min="3049" max="3050" width="4.7109375" style="53" customWidth="1"/>
    <col min="3051" max="3051" width="54.140625" style="53" customWidth="1"/>
    <col min="3052" max="3052" width="52" style="53" customWidth="1"/>
    <col min="3053" max="3053" width="5.28515625" style="53" customWidth="1"/>
    <col min="3054" max="3054" width="5.85546875" style="53" bestFit="1" customWidth="1"/>
    <col min="3055" max="3055" width="16.42578125" style="53" customWidth="1"/>
    <col min="3056" max="3056" width="4.5703125" style="53" customWidth="1"/>
    <col min="3057" max="3057" width="14.140625" style="53" customWidth="1"/>
    <col min="3058" max="3058" width="27.140625" style="53" customWidth="1"/>
    <col min="3059" max="3059" width="16.28515625" style="53" customWidth="1"/>
    <col min="3060" max="3060" width="13.85546875" style="53" customWidth="1"/>
    <col min="3061" max="3303" width="9.140625" style="53"/>
    <col min="3304" max="3304" width="1.7109375" style="53" customWidth="1"/>
    <col min="3305" max="3306" width="4.7109375" style="53" customWidth="1"/>
    <col min="3307" max="3307" width="54.140625" style="53" customWidth="1"/>
    <col min="3308" max="3308" width="52" style="53" customWidth="1"/>
    <col min="3309" max="3309" width="5.28515625" style="53" customWidth="1"/>
    <col min="3310" max="3310" width="5.85546875" style="53" bestFit="1" customWidth="1"/>
    <col min="3311" max="3311" width="16.42578125" style="53" customWidth="1"/>
    <col min="3312" max="3312" width="4.5703125" style="53" customWidth="1"/>
    <col min="3313" max="3313" width="14.140625" style="53" customWidth="1"/>
    <col min="3314" max="3314" width="27.140625" style="53" customWidth="1"/>
    <col min="3315" max="3315" width="16.28515625" style="53" customWidth="1"/>
    <col min="3316" max="3316" width="13.85546875" style="53" customWidth="1"/>
    <col min="3317" max="3559" width="9.140625" style="53"/>
    <col min="3560" max="3560" width="1.7109375" style="53" customWidth="1"/>
    <col min="3561" max="3562" width="4.7109375" style="53" customWidth="1"/>
    <col min="3563" max="3563" width="54.140625" style="53" customWidth="1"/>
    <col min="3564" max="3564" width="52" style="53" customWidth="1"/>
    <col min="3565" max="3565" width="5.28515625" style="53" customWidth="1"/>
    <col min="3566" max="3566" width="5.85546875" style="53" bestFit="1" customWidth="1"/>
    <col min="3567" max="3567" width="16.42578125" style="53" customWidth="1"/>
    <col min="3568" max="3568" width="4.5703125" style="53" customWidth="1"/>
    <col min="3569" max="3569" width="14.140625" style="53" customWidth="1"/>
    <col min="3570" max="3570" width="27.140625" style="53" customWidth="1"/>
    <col min="3571" max="3571" width="16.28515625" style="53" customWidth="1"/>
    <col min="3572" max="3572" width="13.85546875" style="53" customWidth="1"/>
    <col min="3573" max="3815" width="9.140625" style="53"/>
    <col min="3816" max="3816" width="1.7109375" style="53" customWidth="1"/>
    <col min="3817" max="3818" width="4.7109375" style="53" customWidth="1"/>
    <col min="3819" max="3819" width="54.140625" style="53" customWidth="1"/>
    <col min="3820" max="3820" width="52" style="53" customWidth="1"/>
    <col min="3821" max="3821" width="5.28515625" style="53" customWidth="1"/>
    <col min="3822" max="3822" width="5.85546875" style="53" bestFit="1" customWidth="1"/>
    <col min="3823" max="3823" width="16.42578125" style="53" customWidth="1"/>
    <col min="3824" max="3824" width="4.5703125" style="53" customWidth="1"/>
    <col min="3825" max="3825" width="14.140625" style="53" customWidth="1"/>
    <col min="3826" max="3826" width="27.140625" style="53" customWidth="1"/>
    <col min="3827" max="3827" width="16.28515625" style="53" customWidth="1"/>
    <col min="3828" max="3828" width="13.85546875" style="53" customWidth="1"/>
    <col min="3829" max="4071" width="9.140625" style="53"/>
    <col min="4072" max="4072" width="1.7109375" style="53" customWidth="1"/>
    <col min="4073" max="4074" width="4.7109375" style="53" customWidth="1"/>
    <col min="4075" max="4075" width="54.140625" style="53" customWidth="1"/>
    <col min="4076" max="4076" width="52" style="53" customWidth="1"/>
    <col min="4077" max="4077" width="5.28515625" style="53" customWidth="1"/>
    <col min="4078" max="4078" width="5.85546875" style="53" bestFit="1" customWidth="1"/>
    <col min="4079" max="4079" width="16.42578125" style="53" customWidth="1"/>
    <col min="4080" max="4080" width="4.5703125" style="53" customWidth="1"/>
    <col min="4081" max="4081" width="14.140625" style="53" customWidth="1"/>
    <col min="4082" max="4082" width="27.140625" style="53" customWidth="1"/>
    <col min="4083" max="4083" width="16.28515625" style="53" customWidth="1"/>
    <col min="4084" max="4084" width="13.85546875" style="53" customWidth="1"/>
    <col min="4085" max="4327" width="9.140625" style="53"/>
    <col min="4328" max="4328" width="1.7109375" style="53" customWidth="1"/>
    <col min="4329" max="4330" width="4.7109375" style="53" customWidth="1"/>
    <col min="4331" max="4331" width="54.140625" style="53" customWidth="1"/>
    <col min="4332" max="4332" width="52" style="53" customWidth="1"/>
    <col min="4333" max="4333" width="5.28515625" style="53" customWidth="1"/>
    <col min="4334" max="4334" width="5.85546875" style="53" bestFit="1" customWidth="1"/>
    <col min="4335" max="4335" width="16.42578125" style="53" customWidth="1"/>
    <col min="4336" max="4336" width="4.5703125" style="53" customWidth="1"/>
    <col min="4337" max="4337" width="14.140625" style="53" customWidth="1"/>
    <col min="4338" max="4338" width="27.140625" style="53" customWidth="1"/>
    <col min="4339" max="4339" width="16.28515625" style="53" customWidth="1"/>
    <col min="4340" max="4340" width="13.85546875" style="53" customWidth="1"/>
    <col min="4341" max="4583" width="9.140625" style="53"/>
    <col min="4584" max="4584" width="1.7109375" style="53" customWidth="1"/>
    <col min="4585" max="4586" width="4.7109375" style="53" customWidth="1"/>
    <col min="4587" max="4587" width="54.140625" style="53" customWidth="1"/>
    <col min="4588" max="4588" width="52" style="53" customWidth="1"/>
    <col min="4589" max="4589" width="5.28515625" style="53" customWidth="1"/>
    <col min="4590" max="4590" width="5.85546875" style="53" bestFit="1" customWidth="1"/>
    <col min="4591" max="4591" width="16.42578125" style="53" customWidth="1"/>
    <col min="4592" max="4592" width="4.5703125" style="53" customWidth="1"/>
    <col min="4593" max="4593" width="14.140625" style="53" customWidth="1"/>
    <col min="4594" max="4594" width="27.140625" style="53" customWidth="1"/>
    <col min="4595" max="4595" width="16.28515625" style="53" customWidth="1"/>
    <col min="4596" max="4596" width="13.85546875" style="53" customWidth="1"/>
    <col min="4597" max="4839" width="9.140625" style="53"/>
    <col min="4840" max="4840" width="1.7109375" style="53" customWidth="1"/>
    <col min="4841" max="4842" width="4.7109375" style="53" customWidth="1"/>
    <col min="4843" max="4843" width="54.140625" style="53" customWidth="1"/>
    <col min="4844" max="4844" width="52" style="53" customWidth="1"/>
    <col min="4845" max="4845" width="5.28515625" style="53" customWidth="1"/>
    <col min="4846" max="4846" width="5.85546875" style="53" bestFit="1" customWidth="1"/>
    <col min="4847" max="4847" width="16.42578125" style="53" customWidth="1"/>
    <col min="4848" max="4848" width="4.5703125" style="53" customWidth="1"/>
    <col min="4849" max="4849" width="14.140625" style="53" customWidth="1"/>
    <col min="4850" max="4850" width="27.140625" style="53" customWidth="1"/>
    <col min="4851" max="4851" width="16.28515625" style="53" customWidth="1"/>
    <col min="4852" max="4852" width="13.85546875" style="53" customWidth="1"/>
    <col min="4853" max="5095" width="9.140625" style="53"/>
    <col min="5096" max="5096" width="1.7109375" style="53" customWidth="1"/>
    <col min="5097" max="5098" width="4.7109375" style="53" customWidth="1"/>
    <col min="5099" max="5099" width="54.140625" style="53" customWidth="1"/>
    <col min="5100" max="5100" width="52" style="53" customWidth="1"/>
    <col min="5101" max="5101" width="5.28515625" style="53" customWidth="1"/>
    <col min="5102" max="5102" width="5.85546875" style="53" bestFit="1" customWidth="1"/>
    <col min="5103" max="5103" width="16.42578125" style="53" customWidth="1"/>
    <col min="5104" max="5104" width="4.5703125" style="53" customWidth="1"/>
    <col min="5105" max="5105" width="14.140625" style="53" customWidth="1"/>
    <col min="5106" max="5106" width="27.140625" style="53" customWidth="1"/>
    <col min="5107" max="5107" width="16.28515625" style="53" customWidth="1"/>
    <col min="5108" max="5108" width="13.85546875" style="53" customWidth="1"/>
    <col min="5109" max="5351" width="9.140625" style="53"/>
    <col min="5352" max="5352" width="1.7109375" style="53" customWidth="1"/>
    <col min="5353" max="5354" width="4.7109375" style="53" customWidth="1"/>
    <col min="5355" max="5355" width="54.140625" style="53" customWidth="1"/>
    <col min="5356" max="5356" width="52" style="53" customWidth="1"/>
    <col min="5357" max="5357" width="5.28515625" style="53" customWidth="1"/>
    <col min="5358" max="5358" width="5.85546875" style="53" bestFit="1" customWidth="1"/>
    <col min="5359" max="5359" width="16.42578125" style="53" customWidth="1"/>
    <col min="5360" max="5360" width="4.5703125" style="53" customWidth="1"/>
    <col min="5361" max="5361" width="14.140625" style="53" customWidth="1"/>
    <col min="5362" max="5362" width="27.140625" style="53" customWidth="1"/>
    <col min="5363" max="5363" width="16.28515625" style="53" customWidth="1"/>
    <col min="5364" max="5364" width="13.85546875" style="53" customWidth="1"/>
    <col min="5365" max="5607" width="9.140625" style="53"/>
    <col min="5608" max="5608" width="1.7109375" style="53" customWidth="1"/>
    <col min="5609" max="5610" width="4.7109375" style="53" customWidth="1"/>
    <col min="5611" max="5611" width="54.140625" style="53" customWidth="1"/>
    <col min="5612" max="5612" width="52" style="53" customWidth="1"/>
    <col min="5613" max="5613" width="5.28515625" style="53" customWidth="1"/>
    <col min="5614" max="5614" width="5.85546875" style="53" bestFit="1" customWidth="1"/>
    <col min="5615" max="5615" width="16.42578125" style="53" customWidth="1"/>
    <col min="5616" max="5616" width="4.5703125" style="53" customWidth="1"/>
    <col min="5617" max="5617" width="14.140625" style="53" customWidth="1"/>
    <col min="5618" max="5618" width="27.140625" style="53" customWidth="1"/>
    <col min="5619" max="5619" width="16.28515625" style="53" customWidth="1"/>
    <col min="5620" max="5620" width="13.85546875" style="53" customWidth="1"/>
    <col min="5621" max="5863" width="9.140625" style="53"/>
    <col min="5864" max="5864" width="1.7109375" style="53" customWidth="1"/>
    <col min="5865" max="5866" width="4.7109375" style="53" customWidth="1"/>
    <col min="5867" max="5867" width="54.140625" style="53" customWidth="1"/>
    <col min="5868" max="5868" width="52" style="53" customWidth="1"/>
    <col min="5869" max="5869" width="5.28515625" style="53" customWidth="1"/>
    <col min="5870" max="5870" width="5.85546875" style="53" bestFit="1" customWidth="1"/>
    <col min="5871" max="5871" width="16.42578125" style="53" customWidth="1"/>
    <col min="5872" max="5872" width="4.5703125" style="53" customWidth="1"/>
    <col min="5873" max="5873" width="14.140625" style="53" customWidth="1"/>
    <col min="5874" max="5874" width="27.140625" style="53" customWidth="1"/>
    <col min="5875" max="5875" width="16.28515625" style="53" customWidth="1"/>
    <col min="5876" max="5876" width="13.85546875" style="53" customWidth="1"/>
    <col min="5877" max="6119" width="9.140625" style="53"/>
    <col min="6120" max="6120" width="1.7109375" style="53" customWidth="1"/>
    <col min="6121" max="6122" width="4.7109375" style="53" customWidth="1"/>
    <col min="6123" max="6123" width="54.140625" style="53" customWidth="1"/>
    <col min="6124" max="6124" width="52" style="53" customWidth="1"/>
    <col min="6125" max="6125" width="5.28515625" style="53" customWidth="1"/>
    <col min="6126" max="6126" width="5.85546875" style="53" bestFit="1" customWidth="1"/>
    <col min="6127" max="6127" width="16.42578125" style="53" customWidth="1"/>
    <col min="6128" max="6128" width="4.5703125" style="53" customWidth="1"/>
    <col min="6129" max="6129" width="14.140625" style="53" customWidth="1"/>
    <col min="6130" max="6130" width="27.140625" style="53" customWidth="1"/>
    <col min="6131" max="6131" width="16.28515625" style="53" customWidth="1"/>
    <col min="6132" max="6132" width="13.85546875" style="53" customWidth="1"/>
    <col min="6133" max="6375" width="9.140625" style="53"/>
    <col min="6376" max="6376" width="1.7109375" style="53" customWidth="1"/>
    <col min="6377" max="6378" width="4.7109375" style="53" customWidth="1"/>
    <col min="6379" max="6379" width="54.140625" style="53" customWidth="1"/>
    <col min="6380" max="6380" width="52" style="53" customWidth="1"/>
    <col min="6381" max="6381" width="5.28515625" style="53" customWidth="1"/>
    <col min="6382" max="6382" width="5.85546875" style="53" bestFit="1" customWidth="1"/>
    <col min="6383" max="6383" width="16.42578125" style="53" customWidth="1"/>
    <col min="6384" max="6384" width="4.5703125" style="53" customWidth="1"/>
    <col min="6385" max="6385" width="14.140625" style="53" customWidth="1"/>
    <col min="6386" max="6386" width="27.140625" style="53" customWidth="1"/>
    <col min="6387" max="6387" width="16.28515625" style="53" customWidth="1"/>
    <col min="6388" max="6388" width="13.85546875" style="53" customWidth="1"/>
    <col min="6389" max="6631" width="9.140625" style="53"/>
    <col min="6632" max="6632" width="1.7109375" style="53" customWidth="1"/>
    <col min="6633" max="6634" width="4.7109375" style="53" customWidth="1"/>
    <col min="6635" max="6635" width="54.140625" style="53" customWidth="1"/>
    <col min="6636" max="6636" width="52" style="53" customWidth="1"/>
    <col min="6637" max="6637" width="5.28515625" style="53" customWidth="1"/>
    <col min="6638" max="6638" width="5.85546875" style="53" bestFit="1" customWidth="1"/>
    <col min="6639" max="6639" width="16.42578125" style="53" customWidth="1"/>
    <col min="6640" max="6640" width="4.5703125" style="53" customWidth="1"/>
    <col min="6641" max="6641" width="14.140625" style="53" customWidth="1"/>
    <col min="6642" max="6642" width="27.140625" style="53" customWidth="1"/>
    <col min="6643" max="6643" width="16.28515625" style="53" customWidth="1"/>
    <col min="6644" max="6644" width="13.85546875" style="53" customWidth="1"/>
    <col min="6645" max="6887" width="9.140625" style="53"/>
    <col min="6888" max="6888" width="1.7109375" style="53" customWidth="1"/>
    <col min="6889" max="6890" width="4.7109375" style="53" customWidth="1"/>
    <col min="6891" max="6891" width="54.140625" style="53" customWidth="1"/>
    <col min="6892" max="6892" width="52" style="53" customWidth="1"/>
    <col min="6893" max="6893" width="5.28515625" style="53" customWidth="1"/>
    <col min="6894" max="6894" width="5.85546875" style="53" bestFit="1" customWidth="1"/>
    <col min="6895" max="6895" width="16.42578125" style="53" customWidth="1"/>
    <col min="6896" max="6896" width="4.5703125" style="53" customWidth="1"/>
    <col min="6897" max="6897" width="14.140625" style="53" customWidth="1"/>
    <col min="6898" max="6898" width="27.140625" style="53" customWidth="1"/>
    <col min="6899" max="6899" width="16.28515625" style="53" customWidth="1"/>
    <col min="6900" max="6900" width="13.85546875" style="53" customWidth="1"/>
    <col min="6901" max="7143" width="9.140625" style="53"/>
    <col min="7144" max="7144" width="1.7109375" style="53" customWidth="1"/>
    <col min="7145" max="7146" width="4.7109375" style="53" customWidth="1"/>
    <col min="7147" max="7147" width="54.140625" style="53" customWidth="1"/>
    <col min="7148" max="7148" width="52" style="53" customWidth="1"/>
    <col min="7149" max="7149" width="5.28515625" style="53" customWidth="1"/>
    <col min="7150" max="7150" width="5.85546875" style="53" bestFit="1" customWidth="1"/>
    <col min="7151" max="7151" width="16.42578125" style="53" customWidth="1"/>
    <col min="7152" max="7152" width="4.5703125" style="53" customWidth="1"/>
    <col min="7153" max="7153" width="14.140625" style="53" customWidth="1"/>
    <col min="7154" max="7154" width="27.140625" style="53" customWidth="1"/>
    <col min="7155" max="7155" width="16.28515625" style="53" customWidth="1"/>
    <col min="7156" max="7156" width="13.85546875" style="53" customWidth="1"/>
    <col min="7157" max="7399" width="9.140625" style="53"/>
    <col min="7400" max="7400" width="1.7109375" style="53" customWidth="1"/>
    <col min="7401" max="7402" width="4.7109375" style="53" customWidth="1"/>
    <col min="7403" max="7403" width="54.140625" style="53" customWidth="1"/>
    <col min="7404" max="7404" width="52" style="53" customWidth="1"/>
    <col min="7405" max="7405" width="5.28515625" style="53" customWidth="1"/>
    <col min="7406" max="7406" width="5.85546875" style="53" bestFit="1" customWidth="1"/>
    <col min="7407" max="7407" width="16.42578125" style="53" customWidth="1"/>
    <col min="7408" max="7408" width="4.5703125" style="53" customWidth="1"/>
    <col min="7409" max="7409" width="14.140625" style="53" customWidth="1"/>
    <col min="7410" max="7410" width="27.140625" style="53" customWidth="1"/>
    <col min="7411" max="7411" width="16.28515625" style="53" customWidth="1"/>
    <col min="7412" max="7412" width="13.85546875" style="53" customWidth="1"/>
    <col min="7413" max="7655" width="9.140625" style="53"/>
    <col min="7656" max="7656" width="1.7109375" style="53" customWidth="1"/>
    <col min="7657" max="7658" width="4.7109375" style="53" customWidth="1"/>
    <col min="7659" max="7659" width="54.140625" style="53" customWidth="1"/>
    <col min="7660" max="7660" width="52" style="53" customWidth="1"/>
    <col min="7661" max="7661" width="5.28515625" style="53" customWidth="1"/>
    <col min="7662" max="7662" width="5.85546875" style="53" bestFit="1" customWidth="1"/>
    <col min="7663" max="7663" width="16.42578125" style="53" customWidth="1"/>
    <col min="7664" max="7664" width="4.5703125" style="53" customWidth="1"/>
    <col min="7665" max="7665" width="14.140625" style="53" customWidth="1"/>
    <col min="7666" max="7666" width="27.140625" style="53" customWidth="1"/>
    <col min="7667" max="7667" width="16.28515625" style="53" customWidth="1"/>
    <col min="7668" max="7668" width="13.85546875" style="53" customWidth="1"/>
    <col min="7669" max="7911" width="9.140625" style="53"/>
    <col min="7912" max="7912" width="1.7109375" style="53" customWidth="1"/>
    <col min="7913" max="7914" width="4.7109375" style="53" customWidth="1"/>
    <col min="7915" max="7915" width="54.140625" style="53" customWidth="1"/>
    <col min="7916" max="7916" width="52" style="53" customWidth="1"/>
    <col min="7917" max="7917" width="5.28515625" style="53" customWidth="1"/>
    <col min="7918" max="7918" width="5.85546875" style="53" bestFit="1" customWidth="1"/>
    <col min="7919" max="7919" width="16.42578125" style="53" customWidth="1"/>
    <col min="7920" max="7920" width="4.5703125" style="53" customWidth="1"/>
    <col min="7921" max="7921" width="14.140625" style="53" customWidth="1"/>
    <col min="7922" max="7922" width="27.140625" style="53" customWidth="1"/>
    <col min="7923" max="7923" width="16.28515625" style="53" customWidth="1"/>
    <col min="7924" max="7924" width="13.85546875" style="53" customWidth="1"/>
    <col min="7925" max="8167" width="9.140625" style="53"/>
    <col min="8168" max="8168" width="1.7109375" style="53" customWidth="1"/>
    <col min="8169" max="8170" width="4.7109375" style="53" customWidth="1"/>
    <col min="8171" max="8171" width="54.140625" style="53" customWidth="1"/>
    <col min="8172" max="8172" width="52" style="53" customWidth="1"/>
    <col min="8173" max="8173" width="5.28515625" style="53" customWidth="1"/>
    <col min="8174" max="8174" width="5.85546875" style="53" bestFit="1" customWidth="1"/>
    <col min="8175" max="8175" width="16.42578125" style="53" customWidth="1"/>
    <col min="8176" max="8176" width="4.5703125" style="53" customWidth="1"/>
    <col min="8177" max="8177" width="14.140625" style="53" customWidth="1"/>
    <col min="8178" max="8178" width="27.140625" style="53" customWidth="1"/>
    <col min="8179" max="8179" width="16.28515625" style="53" customWidth="1"/>
    <col min="8180" max="8180" width="13.85546875" style="53" customWidth="1"/>
    <col min="8181" max="8423" width="9.140625" style="53"/>
    <col min="8424" max="8424" width="1.7109375" style="53" customWidth="1"/>
    <col min="8425" max="8426" width="4.7109375" style="53" customWidth="1"/>
    <col min="8427" max="8427" width="54.140625" style="53" customWidth="1"/>
    <col min="8428" max="8428" width="52" style="53" customWidth="1"/>
    <col min="8429" max="8429" width="5.28515625" style="53" customWidth="1"/>
    <col min="8430" max="8430" width="5.85546875" style="53" bestFit="1" customWidth="1"/>
    <col min="8431" max="8431" width="16.42578125" style="53" customWidth="1"/>
    <col min="8432" max="8432" width="4.5703125" style="53" customWidth="1"/>
    <col min="8433" max="8433" width="14.140625" style="53" customWidth="1"/>
    <col min="8434" max="8434" width="27.140625" style="53" customWidth="1"/>
    <col min="8435" max="8435" width="16.28515625" style="53" customWidth="1"/>
    <col min="8436" max="8436" width="13.85546875" style="53" customWidth="1"/>
    <col min="8437" max="8679" width="9.140625" style="53"/>
    <col min="8680" max="8680" width="1.7109375" style="53" customWidth="1"/>
    <col min="8681" max="8682" width="4.7109375" style="53" customWidth="1"/>
    <col min="8683" max="8683" width="54.140625" style="53" customWidth="1"/>
    <col min="8684" max="8684" width="52" style="53" customWidth="1"/>
    <col min="8685" max="8685" width="5.28515625" style="53" customWidth="1"/>
    <col min="8686" max="8686" width="5.85546875" style="53" bestFit="1" customWidth="1"/>
    <col min="8687" max="8687" width="16.42578125" style="53" customWidth="1"/>
    <col min="8688" max="8688" width="4.5703125" style="53" customWidth="1"/>
    <col min="8689" max="8689" width="14.140625" style="53" customWidth="1"/>
    <col min="8690" max="8690" width="27.140625" style="53" customWidth="1"/>
    <col min="8691" max="8691" width="16.28515625" style="53" customWidth="1"/>
    <col min="8692" max="8692" width="13.85546875" style="53" customWidth="1"/>
    <col min="8693" max="8935" width="9.140625" style="53"/>
    <col min="8936" max="8936" width="1.7109375" style="53" customWidth="1"/>
    <col min="8937" max="8938" width="4.7109375" style="53" customWidth="1"/>
    <col min="8939" max="8939" width="54.140625" style="53" customWidth="1"/>
    <col min="8940" max="8940" width="52" style="53" customWidth="1"/>
    <col min="8941" max="8941" width="5.28515625" style="53" customWidth="1"/>
    <col min="8942" max="8942" width="5.85546875" style="53" bestFit="1" customWidth="1"/>
    <col min="8943" max="8943" width="16.42578125" style="53" customWidth="1"/>
    <col min="8944" max="8944" width="4.5703125" style="53" customWidth="1"/>
    <col min="8945" max="8945" width="14.140625" style="53" customWidth="1"/>
    <col min="8946" max="8946" width="27.140625" style="53" customWidth="1"/>
    <col min="8947" max="8947" width="16.28515625" style="53" customWidth="1"/>
    <col min="8948" max="8948" width="13.85546875" style="53" customWidth="1"/>
    <col min="8949" max="9191" width="9.140625" style="53"/>
    <col min="9192" max="9192" width="1.7109375" style="53" customWidth="1"/>
    <col min="9193" max="9194" width="4.7109375" style="53" customWidth="1"/>
    <col min="9195" max="9195" width="54.140625" style="53" customWidth="1"/>
    <col min="9196" max="9196" width="52" style="53" customWidth="1"/>
    <col min="9197" max="9197" width="5.28515625" style="53" customWidth="1"/>
    <col min="9198" max="9198" width="5.85546875" style="53" bestFit="1" customWidth="1"/>
    <col min="9199" max="9199" width="16.42578125" style="53" customWidth="1"/>
    <col min="9200" max="9200" width="4.5703125" style="53" customWidth="1"/>
    <col min="9201" max="9201" width="14.140625" style="53" customWidth="1"/>
    <col min="9202" max="9202" width="27.140625" style="53" customWidth="1"/>
    <col min="9203" max="9203" width="16.28515625" style="53" customWidth="1"/>
    <col min="9204" max="9204" width="13.85546875" style="53" customWidth="1"/>
    <col min="9205" max="9447" width="9.140625" style="53"/>
    <col min="9448" max="9448" width="1.7109375" style="53" customWidth="1"/>
    <col min="9449" max="9450" width="4.7109375" style="53" customWidth="1"/>
    <col min="9451" max="9451" width="54.140625" style="53" customWidth="1"/>
    <col min="9452" max="9452" width="52" style="53" customWidth="1"/>
    <col min="9453" max="9453" width="5.28515625" style="53" customWidth="1"/>
    <col min="9454" max="9454" width="5.85546875" style="53" bestFit="1" customWidth="1"/>
    <col min="9455" max="9455" width="16.42578125" style="53" customWidth="1"/>
    <col min="9456" max="9456" width="4.5703125" style="53" customWidth="1"/>
    <col min="9457" max="9457" width="14.140625" style="53" customWidth="1"/>
    <col min="9458" max="9458" width="27.140625" style="53" customWidth="1"/>
    <col min="9459" max="9459" width="16.28515625" style="53" customWidth="1"/>
    <col min="9460" max="9460" width="13.85546875" style="53" customWidth="1"/>
    <col min="9461" max="9703" width="9.140625" style="53"/>
    <col min="9704" max="9704" width="1.7109375" style="53" customWidth="1"/>
    <col min="9705" max="9706" width="4.7109375" style="53" customWidth="1"/>
    <col min="9707" max="9707" width="54.140625" style="53" customWidth="1"/>
    <col min="9708" max="9708" width="52" style="53" customWidth="1"/>
    <col min="9709" max="9709" width="5.28515625" style="53" customWidth="1"/>
    <col min="9710" max="9710" width="5.85546875" style="53" bestFit="1" customWidth="1"/>
    <col min="9711" max="9711" width="16.42578125" style="53" customWidth="1"/>
    <col min="9712" max="9712" width="4.5703125" style="53" customWidth="1"/>
    <col min="9713" max="9713" width="14.140625" style="53" customWidth="1"/>
    <col min="9714" max="9714" width="27.140625" style="53" customWidth="1"/>
    <col min="9715" max="9715" width="16.28515625" style="53" customWidth="1"/>
    <col min="9716" max="9716" width="13.85546875" style="53" customWidth="1"/>
    <col min="9717" max="9959" width="9.140625" style="53"/>
    <col min="9960" max="9960" width="1.7109375" style="53" customWidth="1"/>
    <col min="9961" max="9962" width="4.7109375" style="53" customWidth="1"/>
    <col min="9963" max="9963" width="54.140625" style="53" customWidth="1"/>
    <col min="9964" max="9964" width="52" style="53" customWidth="1"/>
    <col min="9965" max="9965" width="5.28515625" style="53" customWidth="1"/>
    <col min="9966" max="9966" width="5.85546875" style="53" bestFit="1" customWidth="1"/>
    <col min="9967" max="9967" width="16.42578125" style="53" customWidth="1"/>
    <col min="9968" max="9968" width="4.5703125" style="53" customWidth="1"/>
    <col min="9969" max="9969" width="14.140625" style="53" customWidth="1"/>
    <col min="9970" max="9970" width="27.140625" style="53" customWidth="1"/>
    <col min="9971" max="9971" width="16.28515625" style="53" customWidth="1"/>
    <col min="9972" max="9972" width="13.85546875" style="53" customWidth="1"/>
    <col min="9973" max="10215" width="9.140625" style="53"/>
    <col min="10216" max="10216" width="1.7109375" style="53" customWidth="1"/>
    <col min="10217" max="10218" width="4.7109375" style="53" customWidth="1"/>
    <col min="10219" max="10219" width="54.140625" style="53" customWidth="1"/>
    <col min="10220" max="10220" width="52" style="53" customWidth="1"/>
    <col min="10221" max="10221" width="5.28515625" style="53" customWidth="1"/>
    <col min="10222" max="10222" width="5.85546875" style="53" bestFit="1" customWidth="1"/>
    <col min="10223" max="10223" width="16.42578125" style="53" customWidth="1"/>
    <col min="10224" max="10224" width="4.5703125" style="53" customWidth="1"/>
    <col min="10225" max="10225" width="14.140625" style="53" customWidth="1"/>
    <col min="10226" max="10226" width="27.140625" style="53" customWidth="1"/>
    <col min="10227" max="10227" width="16.28515625" style="53" customWidth="1"/>
    <col min="10228" max="10228" width="13.85546875" style="53" customWidth="1"/>
    <col min="10229" max="10471" width="9.140625" style="53"/>
    <col min="10472" max="10472" width="1.7109375" style="53" customWidth="1"/>
    <col min="10473" max="10474" width="4.7109375" style="53" customWidth="1"/>
    <col min="10475" max="10475" width="54.140625" style="53" customWidth="1"/>
    <col min="10476" max="10476" width="52" style="53" customWidth="1"/>
    <col min="10477" max="10477" width="5.28515625" style="53" customWidth="1"/>
    <col min="10478" max="10478" width="5.85546875" style="53" bestFit="1" customWidth="1"/>
    <col min="10479" max="10479" width="16.42578125" style="53" customWidth="1"/>
    <col min="10480" max="10480" width="4.5703125" style="53" customWidth="1"/>
    <col min="10481" max="10481" width="14.140625" style="53" customWidth="1"/>
    <col min="10482" max="10482" width="27.140625" style="53" customWidth="1"/>
    <col min="10483" max="10483" width="16.28515625" style="53" customWidth="1"/>
    <col min="10484" max="10484" width="13.85546875" style="53" customWidth="1"/>
    <col min="10485" max="10727" width="9.140625" style="53"/>
    <col min="10728" max="10728" width="1.7109375" style="53" customWidth="1"/>
    <col min="10729" max="10730" width="4.7109375" style="53" customWidth="1"/>
    <col min="10731" max="10731" width="54.140625" style="53" customWidth="1"/>
    <col min="10732" max="10732" width="52" style="53" customWidth="1"/>
    <col min="10733" max="10733" width="5.28515625" style="53" customWidth="1"/>
    <col min="10734" max="10734" width="5.85546875" style="53" bestFit="1" customWidth="1"/>
    <col min="10735" max="10735" width="16.42578125" style="53" customWidth="1"/>
    <col min="10736" max="10736" width="4.5703125" style="53" customWidth="1"/>
    <col min="10737" max="10737" width="14.140625" style="53" customWidth="1"/>
    <col min="10738" max="10738" width="27.140625" style="53" customWidth="1"/>
    <col min="10739" max="10739" width="16.28515625" style="53" customWidth="1"/>
    <col min="10740" max="10740" width="13.85546875" style="53" customWidth="1"/>
    <col min="10741" max="10983" width="9.140625" style="53"/>
    <col min="10984" max="10984" width="1.7109375" style="53" customWidth="1"/>
    <col min="10985" max="10986" width="4.7109375" style="53" customWidth="1"/>
    <col min="10987" max="10987" width="54.140625" style="53" customWidth="1"/>
    <col min="10988" max="10988" width="52" style="53" customWidth="1"/>
    <col min="10989" max="10989" width="5.28515625" style="53" customWidth="1"/>
    <col min="10990" max="10990" width="5.85546875" style="53" bestFit="1" customWidth="1"/>
    <col min="10991" max="10991" width="16.42578125" style="53" customWidth="1"/>
    <col min="10992" max="10992" width="4.5703125" style="53" customWidth="1"/>
    <col min="10993" max="10993" width="14.140625" style="53" customWidth="1"/>
    <col min="10994" max="10994" width="27.140625" style="53" customWidth="1"/>
    <col min="10995" max="10995" width="16.28515625" style="53" customWidth="1"/>
    <col min="10996" max="10996" width="13.85546875" style="53" customWidth="1"/>
    <col min="10997" max="11239" width="9.140625" style="53"/>
    <col min="11240" max="11240" width="1.7109375" style="53" customWidth="1"/>
    <col min="11241" max="11242" width="4.7109375" style="53" customWidth="1"/>
    <col min="11243" max="11243" width="54.140625" style="53" customWidth="1"/>
    <col min="11244" max="11244" width="52" style="53" customWidth="1"/>
    <col min="11245" max="11245" width="5.28515625" style="53" customWidth="1"/>
    <col min="11246" max="11246" width="5.85546875" style="53" bestFit="1" customWidth="1"/>
    <col min="11247" max="11247" width="16.42578125" style="53" customWidth="1"/>
    <col min="11248" max="11248" width="4.5703125" style="53" customWidth="1"/>
    <col min="11249" max="11249" width="14.140625" style="53" customWidth="1"/>
    <col min="11250" max="11250" width="27.140625" style="53" customWidth="1"/>
    <col min="11251" max="11251" width="16.28515625" style="53" customWidth="1"/>
    <col min="11252" max="11252" width="13.85546875" style="53" customWidth="1"/>
    <col min="11253" max="11495" width="9.140625" style="53"/>
    <col min="11496" max="11496" width="1.7109375" style="53" customWidth="1"/>
    <col min="11497" max="11498" width="4.7109375" style="53" customWidth="1"/>
    <col min="11499" max="11499" width="54.140625" style="53" customWidth="1"/>
    <col min="11500" max="11500" width="52" style="53" customWidth="1"/>
    <col min="11501" max="11501" width="5.28515625" style="53" customWidth="1"/>
    <col min="11502" max="11502" width="5.85546875" style="53" bestFit="1" customWidth="1"/>
    <col min="11503" max="11503" width="16.42578125" style="53" customWidth="1"/>
    <col min="11504" max="11504" width="4.5703125" style="53" customWidth="1"/>
    <col min="11505" max="11505" width="14.140625" style="53" customWidth="1"/>
    <col min="11506" max="11506" width="27.140625" style="53" customWidth="1"/>
    <col min="11507" max="11507" width="16.28515625" style="53" customWidth="1"/>
    <col min="11508" max="11508" width="13.85546875" style="53" customWidth="1"/>
    <col min="11509" max="11751" width="9.140625" style="53"/>
    <col min="11752" max="11752" width="1.7109375" style="53" customWidth="1"/>
    <col min="11753" max="11754" width="4.7109375" style="53" customWidth="1"/>
    <col min="11755" max="11755" width="54.140625" style="53" customWidth="1"/>
    <col min="11756" max="11756" width="52" style="53" customWidth="1"/>
    <col min="11757" max="11757" width="5.28515625" style="53" customWidth="1"/>
    <col min="11758" max="11758" width="5.85546875" style="53" bestFit="1" customWidth="1"/>
    <col min="11759" max="11759" width="16.42578125" style="53" customWidth="1"/>
    <col min="11760" max="11760" width="4.5703125" style="53" customWidth="1"/>
    <col min="11761" max="11761" width="14.140625" style="53" customWidth="1"/>
    <col min="11762" max="11762" width="27.140625" style="53" customWidth="1"/>
    <col min="11763" max="11763" width="16.28515625" style="53" customWidth="1"/>
    <col min="11764" max="11764" width="13.85546875" style="53" customWidth="1"/>
    <col min="11765" max="12007" width="9.140625" style="53"/>
    <col min="12008" max="12008" width="1.7109375" style="53" customWidth="1"/>
    <col min="12009" max="12010" width="4.7109375" style="53" customWidth="1"/>
    <col min="12011" max="12011" width="54.140625" style="53" customWidth="1"/>
    <col min="12012" max="12012" width="52" style="53" customWidth="1"/>
    <col min="12013" max="12013" width="5.28515625" style="53" customWidth="1"/>
    <col min="12014" max="12014" width="5.85546875" style="53" bestFit="1" customWidth="1"/>
    <col min="12015" max="12015" width="16.42578125" style="53" customWidth="1"/>
    <col min="12016" max="12016" width="4.5703125" style="53" customWidth="1"/>
    <col min="12017" max="12017" width="14.140625" style="53" customWidth="1"/>
    <col min="12018" max="12018" width="27.140625" style="53" customWidth="1"/>
    <col min="12019" max="12019" width="16.28515625" style="53" customWidth="1"/>
    <col min="12020" max="12020" width="13.85546875" style="53" customWidth="1"/>
    <col min="12021" max="12263" width="9.140625" style="53"/>
    <col min="12264" max="12264" width="1.7109375" style="53" customWidth="1"/>
    <col min="12265" max="12266" width="4.7109375" style="53" customWidth="1"/>
    <col min="12267" max="12267" width="54.140625" style="53" customWidth="1"/>
    <col min="12268" max="12268" width="52" style="53" customWidth="1"/>
    <col min="12269" max="12269" width="5.28515625" style="53" customWidth="1"/>
    <col min="12270" max="12270" width="5.85546875" style="53" bestFit="1" customWidth="1"/>
    <col min="12271" max="12271" width="16.42578125" style="53" customWidth="1"/>
    <col min="12272" max="12272" width="4.5703125" style="53" customWidth="1"/>
    <col min="12273" max="12273" width="14.140625" style="53" customWidth="1"/>
    <col min="12274" max="12274" width="27.140625" style="53" customWidth="1"/>
    <col min="12275" max="12275" width="16.28515625" style="53" customWidth="1"/>
    <col min="12276" max="12276" width="13.85546875" style="53" customWidth="1"/>
    <col min="12277" max="12519" width="9.140625" style="53"/>
    <col min="12520" max="12520" width="1.7109375" style="53" customWidth="1"/>
    <col min="12521" max="12522" width="4.7109375" style="53" customWidth="1"/>
    <col min="12523" max="12523" width="54.140625" style="53" customWidth="1"/>
    <col min="12524" max="12524" width="52" style="53" customWidth="1"/>
    <col min="12525" max="12525" width="5.28515625" style="53" customWidth="1"/>
    <col min="12526" max="12526" width="5.85546875" style="53" bestFit="1" customWidth="1"/>
    <col min="12527" max="12527" width="16.42578125" style="53" customWidth="1"/>
    <col min="12528" max="12528" width="4.5703125" style="53" customWidth="1"/>
    <col min="12529" max="12529" width="14.140625" style="53" customWidth="1"/>
    <col min="12530" max="12530" width="27.140625" style="53" customWidth="1"/>
    <col min="12531" max="12531" width="16.28515625" style="53" customWidth="1"/>
    <col min="12532" max="12532" width="13.85546875" style="53" customWidth="1"/>
    <col min="12533" max="12775" width="9.140625" style="53"/>
    <col min="12776" max="12776" width="1.7109375" style="53" customWidth="1"/>
    <col min="12777" max="12778" width="4.7109375" style="53" customWidth="1"/>
    <col min="12779" max="12779" width="54.140625" style="53" customWidth="1"/>
    <col min="12780" max="12780" width="52" style="53" customWidth="1"/>
    <col min="12781" max="12781" width="5.28515625" style="53" customWidth="1"/>
    <col min="12782" max="12782" width="5.85546875" style="53" bestFit="1" customWidth="1"/>
    <col min="12783" max="12783" width="16.42578125" style="53" customWidth="1"/>
    <col min="12784" max="12784" width="4.5703125" style="53" customWidth="1"/>
    <col min="12785" max="12785" width="14.140625" style="53" customWidth="1"/>
    <col min="12786" max="12786" width="27.140625" style="53" customWidth="1"/>
    <col min="12787" max="12787" width="16.28515625" style="53" customWidth="1"/>
    <col min="12788" max="12788" width="13.85546875" style="53" customWidth="1"/>
    <col min="12789" max="13031" width="9.140625" style="53"/>
    <col min="13032" max="13032" width="1.7109375" style="53" customWidth="1"/>
    <col min="13033" max="13034" width="4.7109375" style="53" customWidth="1"/>
    <col min="13035" max="13035" width="54.140625" style="53" customWidth="1"/>
    <col min="13036" max="13036" width="52" style="53" customWidth="1"/>
    <col min="13037" max="13037" width="5.28515625" style="53" customWidth="1"/>
    <col min="13038" max="13038" width="5.85546875" style="53" bestFit="1" customWidth="1"/>
    <col min="13039" max="13039" width="16.42578125" style="53" customWidth="1"/>
    <col min="13040" max="13040" width="4.5703125" style="53" customWidth="1"/>
    <col min="13041" max="13041" width="14.140625" style="53" customWidth="1"/>
    <col min="13042" max="13042" width="27.140625" style="53" customWidth="1"/>
    <col min="13043" max="13043" width="16.28515625" style="53" customWidth="1"/>
    <col min="13044" max="13044" width="13.85546875" style="53" customWidth="1"/>
    <col min="13045" max="13287" width="9.140625" style="53"/>
    <col min="13288" max="13288" width="1.7109375" style="53" customWidth="1"/>
    <col min="13289" max="13290" width="4.7109375" style="53" customWidth="1"/>
    <col min="13291" max="13291" width="54.140625" style="53" customWidth="1"/>
    <col min="13292" max="13292" width="52" style="53" customWidth="1"/>
    <col min="13293" max="13293" width="5.28515625" style="53" customWidth="1"/>
    <col min="13294" max="13294" width="5.85546875" style="53" bestFit="1" customWidth="1"/>
    <col min="13295" max="13295" width="16.42578125" style="53" customWidth="1"/>
    <col min="13296" max="13296" width="4.5703125" style="53" customWidth="1"/>
    <col min="13297" max="13297" width="14.140625" style="53" customWidth="1"/>
    <col min="13298" max="13298" width="27.140625" style="53" customWidth="1"/>
    <col min="13299" max="13299" width="16.28515625" style="53" customWidth="1"/>
    <col min="13300" max="13300" width="13.85546875" style="53" customWidth="1"/>
    <col min="13301" max="13543" width="9.140625" style="53"/>
    <col min="13544" max="13544" width="1.7109375" style="53" customWidth="1"/>
    <col min="13545" max="13546" width="4.7109375" style="53" customWidth="1"/>
    <col min="13547" max="13547" width="54.140625" style="53" customWidth="1"/>
    <col min="13548" max="13548" width="52" style="53" customWidth="1"/>
    <col min="13549" max="13549" width="5.28515625" style="53" customWidth="1"/>
    <col min="13550" max="13550" width="5.85546875" style="53" bestFit="1" customWidth="1"/>
    <col min="13551" max="13551" width="16.42578125" style="53" customWidth="1"/>
    <col min="13552" max="13552" width="4.5703125" style="53" customWidth="1"/>
    <col min="13553" max="13553" width="14.140625" style="53" customWidth="1"/>
    <col min="13554" max="13554" width="27.140625" style="53" customWidth="1"/>
    <col min="13555" max="13555" width="16.28515625" style="53" customWidth="1"/>
    <col min="13556" max="13556" width="13.85546875" style="53" customWidth="1"/>
    <col min="13557" max="13799" width="9.140625" style="53"/>
    <col min="13800" max="13800" width="1.7109375" style="53" customWidth="1"/>
    <col min="13801" max="13802" width="4.7109375" style="53" customWidth="1"/>
    <col min="13803" max="13803" width="54.140625" style="53" customWidth="1"/>
    <col min="13804" max="13804" width="52" style="53" customWidth="1"/>
    <col min="13805" max="13805" width="5.28515625" style="53" customWidth="1"/>
    <col min="13806" max="13806" width="5.85546875" style="53" bestFit="1" customWidth="1"/>
    <col min="13807" max="13807" width="16.42578125" style="53" customWidth="1"/>
    <col min="13808" max="13808" width="4.5703125" style="53" customWidth="1"/>
    <col min="13809" max="13809" width="14.140625" style="53" customWidth="1"/>
    <col min="13810" max="13810" width="27.140625" style="53" customWidth="1"/>
    <col min="13811" max="13811" width="16.28515625" style="53" customWidth="1"/>
    <col min="13812" max="13812" width="13.85546875" style="53" customWidth="1"/>
    <col min="13813" max="14055" width="9.140625" style="53"/>
    <col min="14056" max="14056" width="1.7109375" style="53" customWidth="1"/>
    <col min="14057" max="14058" width="4.7109375" style="53" customWidth="1"/>
    <col min="14059" max="14059" width="54.140625" style="53" customWidth="1"/>
    <col min="14060" max="14060" width="52" style="53" customWidth="1"/>
    <col min="14061" max="14061" width="5.28515625" style="53" customWidth="1"/>
    <col min="14062" max="14062" width="5.85546875" style="53" bestFit="1" customWidth="1"/>
    <col min="14063" max="14063" width="16.42578125" style="53" customWidth="1"/>
    <col min="14064" max="14064" width="4.5703125" style="53" customWidth="1"/>
    <col min="14065" max="14065" width="14.140625" style="53" customWidth="1"/>
    <col min="14066" max="14066" width="27.140625" style="53" customWidth="1"/>
    <col min="14067" max="14067" width="16.28515625" style="53" customWidth="1"/>
    <col min="14068" max="14068" width="13.85546875" style="53" customWidth="1"/>
    <col min="14069" max="14311" width="9.140625" style="53"/>
    <col min="14312" max="14312" width="1.7109375" style="53" customWidth="1"/>
    <col min="14313" max="14314" width="4.7109375" style="53" customWidth="1"/>
    <col min="14315" max="14315" width="54.140625" style="53" customWidth="1"/>
    <col min="14316" max="14316" width="52" style="53" customWidth="1"/>
    <col min="14317" max="14317" width="5.28515625" style="53" customWidth="1"/>
    <col min="14318" max="14318" width="5.85546875" style="53" bestFit="1" customWidth="1"/>
    <col min="14319" max="14319" width="16.42578125" style="53" customWidth="1"/>
    <col min="14320" max="14320" width="4.5703125" style="53" customWidth="1"/>
    <col min="14321" max="14321" width="14.140625" style="53" customWidth="1"/>
    <col min="14322" max="14322" width="27.140625" style="53" customWidth="1"/>
    <col min="14323" max="14323" width="16.28515625" style="53" customWidth="1"/>
    <col min="14324" max="14324" width="13.85546875" style="53" customWidth="1"/>
    <col min="14325" max="14567" width="9.140625" style="53"/>
    <col min="14568" max="14568" width="1.7109375" style="53" customWidth="1"/>
    <col min="14569" max="14570" width="4.7109375" style="53" customWidth="1"/>
    <col min="14571" max="14571" width="54.140625" style="53" customWidth="1"/>
    <col min="14572" max="14572" width="52" style="53" customWidth="1"/>
    <col min="14573" max="14573" width="5.28515625" style="53" customWidth="1"/>
    <col min="14574" max="14574" width="5.85546875" style="53" bestFit="1" customWidth="1"/>
    <col min="14575" max="14575" width="16.42578125" style="53" customWidth="1"/>
    <col min="14576" max="14576" width="4.5703125" style="53" customWidth="1"/>
    <col min="14577" max="14577" width="14.140625" style="53" customWidth="1"/>
    <col min="14578" max="14578" width="27.140625" style="53" customWidth="1"/>
    <col min="14579" max="14579" width="16.28515625" style="53" customWidth="1"/>
    <col min="14580" max="14580" width="13.85546875" style="53" customWidth="1"/>
    <col min="14581" max="14823" width="9.140625" style="53"/>
    <col min="14824" max="14824" width="1.7109375" style="53" customWidth="1"/>
    <col min="14825" max="14826" width="4.7109375" style="53" customWidth="1"/>
    <col min="14827" max="14827" width="54.140625" style="53" customWidth="1"/>
    <col min="14828" max="14828" width="52" style="53" customWidth="1"/>
    <col min="14829" max="14829" width="5.28515625" style="53" customWidth="1"/>
    <col min="14830" max="14830" width="5.85546875" style="53" bestFit="1" customWidth="1"/>
    <col min="14831" max="14831" width="16.42578125" style="53" customWidth="1"/>
    <col min="14832" max="14832" width="4.5703125" style="53" customWidth="1"/>
    <col min="14833" max="14833" width="14.140625" style="53" customWidth="1"/>
    <col min="14834" max="14834" width="27.140625" style="53" customWidth="1"/>
    <col min="14835" max="14835" width="16.28515625" style="53" customWidth="1"/>
    <col min="14836" max="14836" width="13.85546875" style="53" customWidth="1"/>
    <col min="14837" max="15079" width="9.140625" style="53"/>
    <col min="15080" max="15080" width="1.7109375" style="53" customWidth="1"/>
    <col min="15081" max="15082" width="4.7109375" style="53" customWidth="1"/>
    <col min="15083" max="15083" width="54.140625" style="53" customWidth="1"/>
    <col min="15084" max="15084" width="52" style="53" customWidth="1"/>
    <col min="15085" max="15085" width="5.28515625" style="53" customWidth="1"/>
    <col min="15086" max="15086" width="5.85546875" style="53" bestFit="1" customWidth="1"/>
    <col min="15087" max="15087" width="16.42578125" style="53" customWidth="1"/>
    <col min="15088" max="15088" width="4.5703125" style="53" customWidth="1"/>
    <col min="15089" max="15089" width="14.140625" style="53" customWidth="1"/>
    <col min="15090" max="15090" width="27.140625" style="53" customWidth="1"/>
    <col min="15091" max="15091" width="16.28515625" style="53" customWidth="1"/>
    <col min="15092" max="15092" width="13.85546875" style="53" customWidth="1"/>
    <col min="15093" max="15335" width="9.140625" style="53"/>
    <col min="15336" max="15336" width="1.7109375" style="53" customWidth="1"/>
    <col min="15337" max="15338" width="4.7109375" style="53" customWidth="1"/>
    <col min="15339" max="15339" width="54.140625" style="53" customWidth="1"/>
    <col min="15340" max="15340" width="52" style="53" customWidth="1"/>
    <col min="15341" max="15341" width="5.28515625" style="53" customWidth="1"/>
    <col min="15342" max="15342" width="5.85546875" style="53" bestFit="1" customWidth="1"/>
    <col min="15343" max="15343" width="16.42578125" style="53" customWidth="1"/>
    <col min="15344" max="15344" width="4.5703125" style="53" customWidth="1"/>
    <col min="15345" max="15345" width="14.140625" style="53" customWidth="1"/>
    <col min="15346" max="15346" width="27.140625" style="53" customWidth="1"/>
    <col min="15347" max="15347" width="16.28515625" style="53" customWidth="1"/>
    <col min="15348" max="15348" width="13.85546875" style="53" customWidth="1"/>
    <col min="15349" max="15591" width="9.140625" style="53"/>
    <col min="15592" max="15592" width="1.7109375" style="53" customWidth="1"/>
    <col min="15593" max="15594" width="4.7109375" style="53" customWidth="1"/>
    <col min="15595" max="15595" width="54.140625" style="53" customWidth="1"/>
    <col min="15596" max="15596" width="52" style="53" customWidth="1"/>
    <col min="15597" max="15597" width="5.28515625" style="53" customWidth="1"/>
    <col min="15598" max="15598" width="5.85546875" style="53" bestFit="1" customWidth="1"/>
    <col min="15599" max="15599" width="16.42578125" style="53" customWidth="1"/>
    <col min="15600" max="15600" width="4.5703125" style="53" customWidth="1"/>
    <col min="15601" max="15601" width="14.140625" style="53" customWidth="1"/>
    <col min="15602" max="15602" width="27.140625" style="53" customWidth="1"/>
    <col min="15603" max="15603" width="16.28515625" style="53" customWidth="1"/>
    <col min="15604" max="15604" width="13.85546875" style="53" customWidth="1"/>
    <col min="15605" max="15847" width="9.140625" style="53"/>
    <col min="15848" max="15848" width="1.7109375" style="53" customWidth="1"/>
    <col min="15849" max="15850" width="4.7109375" style="53" customWidth="1"/>
    <col min="15851" max="15851" width="54.140625" style="53" customWidth="1"/>
    <col min="15852" max="15852" width="52" style="53" customWidth="1"/>
    <col min="15853" max="15853" width="5.28515625" style="53" customWidth="1"/>
    <col min="15854" max="15854" width="5.85546875" style="53" bestFit="1" customWidth="1"/>
    <col min="15855" max="15855" width="16.42578125" style="53" customWidth="1"/>
    <col min="15856" max="15856" width="4.5703125" style="53" customWidth="1"/>
    <col min="15857" max="15857" width="14.140625" style="53" customWidth="1"/>
    <col min="15858" max="15858" width="27.140625" style="53" customWidth="1"/>
    <col min="15859" max="15859" width="16.28515625" style="53" customWidth="1"/>
    <col min="15860" max="15860" width="13.85546875" style="53" customWidth="1"/>
    <col min="15861" max="16103" width="9.140625" style="53"/>
    <col min="16104" max="16104" width="1.7109375" style="53" customWidth="1"/>
    <col min="16105" max="16106" width="4.7109375" style="53" customWidth="1"/>
    <col min="16107" max="16107" width="54.140625" style="53" customWidth="1"/>
    <col min="16108" max="16108" width="52" style="53" customWidth="1"/>
    <col min="16109" max="16109" width="5.28515625" style="53" customWidth="1"/>
    <col min="16110" max="16110" width="5.85546875" style="53" bestFit="1" customWidth="1"/>
    <col min="16111" max="16111" width="16.42578125" style="53" customWidth="1"/>
    <col min="16112" max="16112" width="4.5703125" style="53" customWidth="1"/>
    <col min="16113" max="16113" width="14.140625" style="53" customWidth="1"/>
    <col min="16114" max="16114" width="27.140625" style="53" customWidth="1"/>
    <col min="16115" max="16115" width="16.28515625" style="53" customWidth="1"/>
    <col min="16116" max="16116" width="13.85546875" style="53" customWidth="1"/>
    <col min="16117" max="16384" width="9.140625" style="53"/>
  </cols>
  <sheetData>
    <row r="2" spans="2:16" s="5" customFormat="1" ht="15.75" hidden="1" x14ac:dyDescent="0.25">
      <c r="B2" s="1073"/>
      <c r="C2" s="1645" t="s">
        <v>431</v>
      </c>
      <c r="D2" s="1645"/>
      <c r="E2" s="1645"/>
      <c r="F2" s="1645"/>
      <c r="G2" s="1645"/>
      <c r="H2" s="1645"/>
      <c r="I2" s="1645"/>
      <c r="J2" s="1071"/>
      <c r="K2" s="451"/>
      <c r="L2" s="451"/>
      <c r="M2" s="3"/>
    </row>
    <row r="3" spans="2:16" s="5" customFormat="1" ht="13.5" customHeight="1" x14ac:dyDescent="0.25">
      <c r="B3" s="1073"/>
      <c r="C3" s="1646" t="s">
        <v>0</v>
      </c>
      <c r="D3" s="1646"/>
      <c r="E3" s="1646"/>
      <c r="F3" s="1646"/>
      <c r="G3" s="1646"/>
      <c r="H3" s="1646"/>
      <c r="I3" s="1646"/>
      <c r="J3" s="1646"/>
      <c r="K3" s="1646"/>
      <c r="L3" s="1072"/>
      <c r="M3" s="481"/>
    </row>
    <row r="4" spans="2:16" s="4" customFormat="1" ht="14.25" customHeight="1" x14ac:dyDescent="0.25">
      <c r="B4" s="1073"/>
      <c r="C4" s="1646" t="s">
        <v>1</v>
      </c>
      <c r="D4" s="1646"/>
      <c r="E4" s="1646"/>
      <c r="F4" s="1646"/>
      <c r="G4" s="1646"/>
      <c r="H4" s="1646"/>
      <c r="I4" s="1646"/>
      <c r="J4" s="1646"/>
      <c r="K4" s="1646"/>
      <c r="L4" s="1072"/>
      <c r="M4" s="481"/>
    </row>
    <row r="5" spans="2:16" s="4" customFormat="1" ht="15.75" x14ac:dyDescent="0.25">
      <c r="B5" s="1073"/>
      <c r="C5" s="452"/>
      <c r="D5" s="453"/>
      <c r="E5" s="453"/>
      <c r="F5" s="453"/>
      <c r="G5" s="454"/>
      <c r="H5" s="457"/>
      <c r="I5" s="457"/>
      <c r="J5" s="457"/>
      <c r="K5" s="458"/>
      <c r="L5" s="456"/>
      <c r="M5" s="1074"/>
    </row>
    <row r="6" spans="2:16" s="4" customFormat="1" ht="18" customHeight="1" x14ac:dyDescent="0.25">
      <c r="B6" s="1073"/>
      <c r="C6" s="1647" t="s">
        <v>2</v>
      </c>
      <c r="D6" s="1647"/>
      <c r="E6" s="1505" t="s">
        <v>3</v>
      </c>
      <c r="F6" s="1505"/>
      <c r="G6" s="1505"/>
      <c r="H6" s="457"/>
      <c r="I6" s="457"/>
      <c r="J6" s="457"/>
      <c r="K6" s="458"/>
      <c r="L6" s="456"/>
      <c r="M6" s="1074"/>
    </row>
    <row r="7" spans="2:16" s="4" customFormat="1" ht="3.75" customHeight="1" thickBot="1" x14ac:dyDescent="0.3">
      <c r="B7" s="1073"/>
      <c r="C7" s="6"/>
      <c r="D7" s="8"/>
      <c r="E7" s="8"/>
      <c r="F7" s="8"/>
      <c r="G7" s="9"/>
      <c r="H7" s="12"/>
      <c r="I7" s="12"/>
      <c r="J7" s="12"/>
      <c r="K7" s="7"/>
      <c r="L7" s="11"/>
      <c r="M7" s="1074"/>
    </row>
    <row r="8" spans="2:16" s="15" customFormat="1" ht="32.25" customHeight="1" thickTop="1" x14ac:dyDescent="0.25">
      <c r="B8" s="13"/>
      <c r="C8" s="1648" t="s">
        <v>433</v>
      </c>
      <c r="D8" s="1649"/>
      <c r="E8" s="1650"/>
      <c r="F8" s="1654" t="s">
        <v>418</v>
      </c>
      <c r="G8" s="1650"/>
      <c r="H8" s="1662" t="s">
        <v>502</v>
      </c>
      <c r="I8" s="1666" t="s">
        <v>488</v>
      </c>
      <c r="J8" s="14"/>
      <c r="K8" s="14"/>
      <c r="L8" s="1643" t="s">
        <v>469</v>
      </c>
      <c r="M8" s="441" t="s">
        <v>426</v>
      </c>
      <c r="N8" s="16"/>
    </row>
    <row r="9" spans="2:16" s="15" customFormat="1" x14ac:dyDescent="0.25">
      <c r="B9" s="13"/>
      <c r="C9" s="1651"/>
      <c r="D9" s="1652"/>
      <c r="E9" s="1653"/>
      <c r="F9" s="1655"/>
      <c r="G9" s="1653"/>
      <c r="H9" s="1663"/>
      <c r="I9" s="1667"/>
      <c r="J9" s="14"/>
      <c r="K9" s="14"/>
      <c r="L9" s="1644"/>
      <c r="M9" s="14"/>
      <c r="P9" s="17"/>
    </row>
    <row r="10" spans="2:16" s="29" customFormat="1" ht="29.25" customHeight="1" x14ac:dyDescent="0.25">
      <c r="B10" s="13"/>
      <c r="C10" s="1669" t="s">
        <v>4</v>
      </c>
      <c r="D10" s="1670"/>
      <c r="E10" s="1670"/>
      <c r="F10" s="1670"/>
      <c r="G10" s="1670"/>
      <c r="H10" s="821">
        <f>H11+H17</f>
        <v>345313925842</v>
      </c>
      <c r="I10" s="1108">
        <f>I11+I17</f>
        <v>345313925842</v>
      </c>
      <c r="J10" s="26"/>
      <c r="K10" s="26"/>
      <c r="L10" s="508"/>
      <c r="M10" s="485">
        <f>SUM(M11:M28)</f>
        <v>0</v>
      </c>
      <c r="N10" s="27" t="e">
        <f>#REF!-I10</f>
        <v>#REF!</v>
      </c>
      <c r="O10" s="28"/>
    </row>
    <row r="11" spans="2:16" s="15" customFormat="1" ht="30" customHeight="1" x14ac:dyDescent="0.25">
      <c r="B11" s="13"/>
      <c r="C11" s="1668" t="s">
        <v>487</v>
      </c>
      <c r="D11" s="1638"/>
      <c r="E11" s="1638"/>
      <c r="F11" s="1638"/>
      <c r="G11" s="1638"/>
      <c r="H11" s="609">
        <f>H12+H13+H14+H15+H16</f>
        <v>11388515300</v>
      </c>
      <c r="I11" s="31">
        <f>I12+I13+I14+I15+I16</f>
        <v>11388515300</v>
      </c>
      <c r="J11" s="32"/>
      <c r="K11" s="32"/>
      <c r="L11" s="509"/>
      <c r="M11" s="486"/>
      <c r="N11" s="33"/>
      <c r="O11" s="17"/>
    </row>
    <row r="12" spans="2:16" s="62" customFormat="1" ht="21.75" customHeight="1" x14ac:dyDescent="0.25">
      <c r="B12" s="726"/>
      <c r="C12" s="1674" t="s">
        <v>432</v>
      </c>
      <c r="D12" s="1675"/>
      <c r="E12" s="1671" t="s">
        <v>6</v>
      </c>
      <c r="F12" s="1672"/>
      <c r="G12" s="1673"/>
      <c r="H12" s="727">
        <f>'PUPR++'!K13</f>
        <v>5166573300</v>
      </c>
      <c r="I12" s="728">
        <f>'PUPR++'!M13</f>
        <v>5166573300</v>
      </c>
      <c r="J12" s="44"/>
      <c r="K12" s="44"/>
      <c r="L12" s="729"/>
      <c r="M12" s="488"/>
    </row>
    <row r="13" spans="2:16" s="62" customFormat="1" ht="21.75" customHeight="1" x14ac:dyDescent="0.25">
      <c r="B13" s="726"/>
      <c r="C13" s="1674" t="s">
        <v>434</v>
      </c>
      <c r="D13" s="1675"/>
      <c r="E13" s="1671" t="s">
        <v>35</v>
      </c>
      <c r="F13" s="1672"/>
      <c r="G13" s="1673"/>
      <c r="H13" s="727">
        <f>'PUPR++'!K24</f>
        <v>4220250000</v>
      </c>
      <c r="I13" s="728">
        <f>'PUPR++'!M24</f>
        <v>4220250000</v>
      </c>
      <c r="J13" s="44"/>
      <c r="K13" s="44"/>
      <c r="L13" s="729"/>
      <c r="M13" s="488"/>
    </row>
    <row r="14" spans="2:16" s="62" customFormat="1" ht="21.75" customHeight="1" x14ac:dyDescent="0.25">
      <c r="B14" s="726"/>
      <c r="C14" s="1674" t="s">
        <v>435</v>
      </c>
      <c r="D14" s="1675"/>
      <c r="E14" s="1676" t="s">
        <v>59</v>
      </c>
      <c r="F14" s="1677"/>
      <c r="G14" s="1678"/>
      <c r="H14" s="727">
        <f>'PUPR++'!K40</f>
        <v>329692000</v>
      </c>
      <c r="I14" s="728">
        <f>'PUPR++'!M40</f>
        <v>329692000</v>
      </c>
      <c r="J14" s="44"/>
      <c r="K14" s="44"/>
      <c r="L14" s="730"/>
      <c r="M14" s="488"/>
    </row>
    <row r="15" spans="2:16" s="62" customFormat="1" ht="21.75" customHeight="1" x14ac:dyDescent="0.25">
      <c r="B15" s="726"/>
      <c r="C15" s="1674" t="s">
        <v>436</v>
      </c>
      <c r="D15" s="1675"/>
      <c r="E15" s="1676" t="s">
        <v>63</v>
      </c>
      <c r="F15" s="1677"/>
      <c r="G15" s="1678"/>
      <c r="H15" s="727">
        <f>'PUPR++'!K43</f>
        <v>250000000</v>
      </c>
      <c r="I15" s="728">
        <f>'PUPR++'!M43</f>
        <v>250000000</v>
      </c>
      <c r="J15" s="44"/>
      <c r="K15" s="44"/>
      <c r="L15" s="730"/>
      <c r="M15" s="488"/>
    </row>
    <row r="16" spans="2:16" s="62" customFormat="1" ht="21.75" customHeight="1" x14ac:dyDescent="0.25">
      <c r="B16" s="726"/>
      <c r="C16" s="1674" t="s">
        <v>437</v>
      </c>
      <c r="D16" s="1675"/>
      <c r="E16" s="1676" t="s">
        <v>67</v>
      </c>
      <c r="F16" s="1677"/>
      <c r="G16" s="1678"/>
      <c r="H16" s="1109">
        <f>'PUPR++'!K46</f>
        <v>1422000000</v>
      </c>
      <c r="I16" s="1110">
        <f>'PUPR++'!M46</f>
        <v>1422000000</v>
      </c>
      <c r="J16" s="44"/>
      <c r="K16" s="44"/>
      <c r="L16" s="730"/>
      <c r="M16" s="488"/>
    </row>
    <row r="17" spans="2:16" s="15" customFormat="1" ht="30" customHeight="1" x14ac:dyDescent="0.25">
      <c r="B17" s="13"/>
      <c r="C17" s="1668" t="s">
        <v>75</v>
      </c>
      <c r="D17" s="1638"/>
      <c r="E17" s="1638"/>
      <c r="F17" s="1638"/>
      <c r="G17" s="1638"/>
      <c r="H17" s="623">
        <f>H18+H19+H20+H21+H22+H23+H24+H25+H26+H27+H28</f>
        <v>333925410542</v>
      </c>
      <c r="I17" s="103">
        <f>I18+I19+I20+I21+I22+I23+I24+I25+I26+I27+I28</f>
        <v>333925410542</v>
      </c>
      <c r="J17" s="104"/>
      <c r="K17" s="104"/>
      <c r="L17" s="593"/>
      <c r="M17" s="14"/>
    </row>
    <row r="18" spans="2:16" s="62" customFormat="1" ht="22.5" customHeight="1" x14ac:dyDescent="0.25">
      <c r="B18" s="726"/>
      <c r="C18" s="1674" t="s">
        <v>438</v>
      </c>
      <c r="D18" s="1689"/>
      <c r="E18" s="1698" t="s">
        <v>76</v>
      </c>
      <c r="F18" s="1699"/>
      <c r="G18" s="1700"/>
      <c r="H18" s="805">
        <f>'PUPR++'!K53</f>
        <v>197365000000</v>
      </c>
      <c r="I18" s="806">
        <f>'PUPR++'!M53</f>
        <v>200565000000</v>
      </c>
      <c r="J18" s="147"/>
      <c r="K18" s="118"/>
      <c r="L18" s="725"/>
      <c r="M18" s="118"/>
      <c r="N18" s="148">
        <v>1100000000</v>
      </c>
      <c r="O18" s="731">
        <v>172915000000</v>
      </c>
    </row>
    <row r="19" spans="2:16" s="62" customFormat="1" ht="22.5" customHeight="1" x14ac:dyDescent="0.25">
      <c r="B19" s="726"/>
      <c r="C19" s="1674" t="s">
        <v>452</v>
      </c>
      <c r="D19" s="1689"/>
      <c r="E19" s="1695" t="s">
        <v>189</v>
      </c>
      <c r="F19" s="1696"/>
      <c r="G19" s="1697"/>
      <c r="H19" s="807">
        <f>'PUPR++'!K143</f>
        <v>61485840000</v>
      </c>
      <c r="I19" s="808">
        <f>'PUPR++'!M143</f>
        <v>58285840000</v>
      </c>
      <c r="J19" s="7"/>
      <c r="K19" s="7"/>
      <c r="L19" s="734"/>
      <c r="M19" s="1074"/>
      <c r="N19" s="148"/>
      <c r="O19" s="731"/>
    </row>
    <row r="20" spans="2:16" s="62" customFormat="1" ht="22.5" customHeight="1" x14ac:dyDescent="0.25">
      <c r="B20" s="726"/>
      <c r="C20" s="1684" t="s">
        <v>453</v>
      </c>
      <c r="D20" s="1685"/>
      <c r="E20" s="1695" t="s">
        <v>231</v>
      </c>
      <c r="F20" s="1696"/>
      <c r="G20" s="1697"/>
      <c r="H20" s="735">
        <f>'PUPR++'!K169</f>
        <v>1850000000</v>
      </c>
      <c r="I20" s="736">
        <f>'PUPR++'!M169</f>
        <v>1850000000</v>
      </c>
      <c r="J20" s="319"/>
      <c r="K20" s="319"/>
      <c r="L20" s="737"/>
      <c r="M20" s="504"/>
      <c r="N20" s="63"/>
    </row>
    <row r="21" spans="2:16" s="62" customFormat="1" ht="22.5" customHeight="1" x14ac:dyDescent="0.25">
      <c r="B21" s="726"/>
      <c r="C21" s="1674" t="s">
        <v>454</v>
      </c>
      <c r="D21" s="1689"/>
      <c r="E21" s="1695" t="s">
        <v>238</v>
      </c>
      <c r="F21" s="1696"/>
      <c r="G21" s="1697"/>
      <c r="H21" s="738">
        <f>'PUPR++'!K174</f>
        <v>7000000000</v>
      </c>
      <c r="I21" s="739">
        <f>'PUPR++'!M174</f>
        <v>7000000000</v>
      </c>
      <c r="J21" s="296"/>
      <c r="K21" s="296"/>
      <c r="L21" s="737"/>
      <c r="M21" s="501"/>
      <c r="P21" s="63"/>
    </row>
    <row r="22" spans="2:16" s="62" customFormat="1" ht="24.75" customHeight="1" x14ac:dyDescent="0.25">
      <c r="B22" s="726"/>
      <c r="C22" s="1693" t="s">
        <v>455</v>
      </c>
      <c r="D22" s="1694"/>
      <c r="E22" s="1695" t="s">
        <v>252</v>
      </c>
      <c r="F22" s="1696"/>
      <c r="G22" s="1697"/>
      <c r="H22" s="809">
        <f>'PUPR++'!K182</f>
        <v>55724570542</v>
      </c>
      <c r="I22" s="810">
        <f>'PUPR++'!M182</f>
        <v>54948487571</v>
      </c>
      <c r="J22" s="319"/>
      <c r="K22" s="319"/>
      <c r="L22" s="737"/>
      <c r="M22" s="504"/>
      <c r="N22" s="148"/>
      <c r="O22" s="731">
        <v>42276082971</v>
      </c>
    </row>
    <row r="23" spans="2:16" s="62" customFormat="1" ht="22.5" customHeight="1" x14ac:dyDescent="0.25">
      <c r="B23" s="726"/>
      <c r="C23" s="1674" t="s">
        <v>456</v>
      </c>
      <c r="D23" s="1689"/>
      <c r="E23" s="1690" t="s">
        <v>326</v>
      </c>
      <c r="F23" s="1691"/>
      <c r="G23" s="1692"/>
      <c r="H23" s="732">
        <f>'PUPR++'!K223</f>
        <v>750000000</v>
      </c>
      <c r="I23" s="733">
        <f>'PUPR++'!M223</f>
        <v>750000000</v>
      </c>
      <c r="J23" s="7"/>
      <c r="K23" s="7"/>
      <c r="L23" s="740"/>
      <c r="M23" s="1074"/>
    </row>
    <row r="24" spans="2:16" s="62" customFormat="1" ht="22.5" customHeight="1" x14ac:dyDescent="0.25">
      <c r="B24" s="726"/>
      <c r="C24" s="1674" t="s">
        <v>457</v>
      </c>
      <c r="D24" s="1689"/>
      <c r="E24" s="1690" t="s">
        <v>333</v>
      </c>
      <c r="F24" s="1691"/>
      <c r="G24" s="1692"/>
      <c r="H24" s="807">
        <f>'PUPR++'!K227</f>
        <v>2200000000</v>
      </c>
      <c r="I24" s="808">
        <f>'PUPR++'!M227</f>
        <v>2976082971</v>
      </c>
      <c r="J24" s="7"/>
      <c r="K24" s="7"/>
      <c r="L24" s="740"/>
      <c r="M24" s="1074"/>
    </row>
    <row r="25" spans="2:16" s="62" customFormat="1" ht="22.5" customHeight="1" x14ac:dyDescent="0.25">
      <c r="B25" s="726"/>
      <c r="C25" s="1674" t="s">
        <v>458</v>
      </c>
      <c r="D25" s="1689"/>
      <c r="E25" s="1690" t="s">
        <v>341</v>
      </c>
      <c r="F25" s="1691"/>
      <c r="G25" s="1692"/>
      <c r="H25" s="732">
        <f>'PUPR++'!K231</f>
        <v>1550000000</v>
      </c>
      <c r="I25" s="733">
        <f>'PUPR++'!M231</f>
        <v>1550000000</v>
      </c>
      <c r="J25" s="7"/>
      <c r="K25" s="7"/>
      <c r="L25" s="740"/>
      <c r="M25" s="1074"/>
    </row>
    <row r="26" spans="2:16" s="62" customFormat="1" ht="22.5" customHeight="1" x14ac:dyDescent="0.25">
      <c r="B26" s="726"/>
      <c r="C26" s="1684" t="s">
        <v>459</v>
      </c>
      <c r="D26" s="1685"/>
      <c r="E26" s="1686" t="s">
        <v>355</v>
      </c>
      <c r="F26" s="1687"/>
      <c r="G26" s="1688"/>
      <c r="H26" s="735">
        <f>'PUPR++'!K238</f>
        <v>5200000000</v>
      </c>
      <c r="I26" s="736">
        <f>'PUPR++'!M238</f>
        <v>5200000000</v>
      </c>
      <c r="J26" s="319"/>
      <c r="K26" s="319"/>
      <c r="L26" s="741"/>
      <c r="M26" s="504"/>
      <c r="N26" s="63"/>
      <c r="P26" s="63"/>
    </row>
    <row r="27" spans="2:16" s="62" customFormat="1" ht="22.5" customHeight="1" x14ac:dyDescent="0.25">
      <c r="B27" s="726"/>
      <c r="C27" s="1684" t="s">
        <v>460</v>
      </c>
      <c r="D27" s="1685"/>
      <c r="E27" s="1686" t="s">
        <v>378</v>
      </c>
      <c r="F27" s="1687"/>
      <c r="G27" s="1688"/>
      <c r="H27" s="735">
        <f>'PUPR++'!K254</f>
        <v>500000000</v>
      </c>
      <c r="I27" s="736">
        <f>'PUPR++'!M254</f>
        <v>500000000</v>
      </c>
      <c r="J27" s="319"/>
      <c r="K27" s="319"/>
      <c r="L27" s="742"/>
      <c r="M27" s="504"/>
      <c r="P27" s="63"/>
    </row>
    <row r="28" spans="2:16" s="62" customFormat="1" ht="22.5" customHeight="1" thickBot="1" x14ac:dyDescent="0.3">
      <c r="B28" s="726"/>
      <c r="C28" s="1679" t="s">
        <v>461</v>
      </c>
      <c r="D28" s="1680"/>
      <c r="E28" s="1681" t="s">
        <v>387</v>
      </c>
      <c r="F28" s="1682"/>
      <c r="G28" s="1683"/>
      <c r="H28" s="743">
        <f>'PUPR++'!K260</f>
        <v>300000000</v>
      </c>
      <c r="I28" s="744">
        <f>'PUPR++'!M260</f>
        <v>300000000</v>
      </c>
      <c r="J28" s="319"/>
      <c r="K28" s="319"/>
      <c r="L28" s="741"/>
      <c r="M28" s="504"/>
      <c r="P28" s="63"/>
    </row>
    <row r="29" spans="2:16" ht="1.5" customHeight="1" thickTop="1" x14ac:dyDescent="0.25"/>
  </sheetData>
  <mergeCells count="45">
    <mergeCell ref="C27:D27"/>
    <mergeCell ref="E27:G27"/>
    <mergeCell ref="C28:D28"/>
    <mergeCell ref="E28:G28"/>
    <mergeCell ref="C24:D24"/>
    <mergeCell ref="E24:G24"/>
    <mergeCell ref="C25:D25"/>
    <mergeCell ref="E25:G25"/>
    <mergeCell ref="C26:D26"/>
    <mergeCell ref="E26:G26"/>
    <mergeCell ref="C21:D21"/>
    <mergeCell ref="E21:G21"/>
    <mergeCell ref="C22:D22"/>
    <mergeCell ref="E22:G22"/>
    <mergeCell ref="C23:D23"/>
    <mergeCell ref="E23:G23"/>
    <mergeCell ref="C20:D20"/>
    <mergeCell ref="E20:G20"/>
    <mergeCell ref="C14:D14"/>
    <mergeCell ref="E14:G14"/>
    <mergeCell ref="C15:D15"/>
    <mergeCell ref="E15:G15"/>
    <mergeCell ref="C16:D16"/>
    <mergeCell ref="E16:G16"/>
    <mergeCell ref="C17:G17"/>
    <mergeCell ref="C18:D18"/>
    <mergeCell ref="E18:G18"/>
    <mergeCell ref="C19:D19"/>
    <mergeCell ref="E19:G19"/>
    <mergeCell ref="L8:L9"/>
    <mergeCell ref="C10:G10"/>
    <mergeCell ref="C11:G11"/>
    <mergeCell ref="C12:D12"/>
    <mergeCell ref="E12:G12"/>
    <mergeCell ref="C13:D13"/>
    <mergeCell ref="E13:G13"/>
    <mergeCell ref="C2:I2"/>
    <mergeCell ref="C3:K3"/>
    <mergeCell ref="C4:K4"/>
    <mergeCell ref="C6:D6"/>
    <mergeCell ref="E6:G6"/>
    <mergeCell ref="C8:E9"/>
    <mergeCell ref="F8:G9"/>
    <mergeCell ref="H8:H9"/>
    <mergeCell ref="I8:I9"/>
  </mergeCells>
  <printOptions horizontalCentered="1"/>
  <pageMargins left="0.43307086614173229" right="0.43307086614173229" top="0.59055118110236227" bottom="0.39370078740157483" header="0" footer="0"/>
  <pageSetup paperSize="9" scale="87" fitToHeight="0" orientation="portrait" useFirstPageNumber="1" r:id="rId1"/>
  <headerFooter>
    <oddFooter>&amp;L&amp;"Cambria,Italic"&amp;7&amp;K05-049&amp;F / &amp;A&amp;C&amp;"Cambria,Italic"&amp;7&amp;K04-021Hal &amp;P dari &amp;N&amp;R&amp;"-,Italic"&amp;7&amp;K09-022&amp;D /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B2:U264"/>
  <sheetViews>
    <sheetView view="pageBreakPreview" topLeftCell="B1" zoomScale="70" zoomScaleNormal="85" zoomScaleSheetLayoutView="70" workbookViewId="0">
      <selection activeCell="U22" sqref="U22"/>
    </sheetView>
  </sheetViews>
  <sheetFormatPr defaultRowHeight="12.75" x14ac:dyDescent="0.25"/>
  <cols>
    <col min="1" max="1" width="9" style="53" customWidth="1"/>
    <col min="2" max="2" width="0.5703125" style="13" customWidth="1"/>
    <col min="3" max="3" width="3.28515625" style="427" customWidth="1"/>
    <col min="4" max="4" width="4.140625" style="428" customWidth="1"/>
    <col min="5" max="5" width="3.5703125" style="428" customWidth="1"/>
    <col min="6" max="6" width="2.7109375" style="428" customWidth="1"/>
    <col min="7" max="7" width="56.7109375" style="429" customWidth="1"/>
    <col min="8" max="8" width="52" style="430" customWidth="1"/>
    <col min="9" max="9" width="9.85546875" style="431" customWidth="1"/>
    <col min="10" max="11" width="16.85546875" style="432" hidden="1" customWidth="1"/>
    <col min="12" max="12" width="16.85546875" style="432" customWidth="1"/>
    <col min="13" max="13" width="17.42578125" style="432" customWidth="1"/>
    <col min="14" max="14" width="20.140625" style="432" hidden="1" customWidth="1"/>
    <col min="15" max="15" width="22.140625" style="432" hidden="1" customWidth="1"/>
    <col min="16" max="16" width="0.5703125" style="291" customWidth="1"/>
    <col min="17" max="17" width="17.5703125" style="431" customWidth="1"/>
    <col min="18" max="18" width="4.85546875" style="500" customWidth="1"/>
    <col min="19" max="21" width="14.140625" style="53" customWidth="1"/>
    <col min="22" max="30" width="10.5703125" style="53" customWidth="1"/>
    <col min="31" max="236" width="9.140625" style="53"/>
    <col min="237" max="237" width="1.7109375" style="53" customWidth="1"/>
    <col min="238" max="239" width="4.7109375" style="53" customWidth="1"/>
    <col min="240" max="240" width="54.140625" style="53" customWidth="1"/>
    <col min="241" max="241" width="52" style="53" customWidth="1"/>
    <col min="242" max="242" width="5.28515625" style="53" customWidth="1"/>
    <col min="243" max="243" width="5.85546875" style="53" bestFit="1" customWidth="1"/>
    <col min="244" max="244" width="16.42578125" style="53" customWidth="1"/>
    <col min="245" max="245" width="4.5703125" style="53" customWidth="1"/>
    <col min="246" max="246" width="14.140625" style="53" customWidth="1"/>
    <col min="247" max="247" width="27.140625" style="53" customWidth="1"/>
    <col min="248" max="248" width="16.28515625" style="53" customWidth="1"/>
    <col min="249" max="249" width="13.85546875" style="53" customWidth="1"/>
    <col min="250" max="492" width="9.140625" style="53"/>
    <col min="493" max="493" width="1.7109375" style="53" customWidth="1"/>
    <col min="494" max="495" width="4.7109375" style="53" customWidth="1"/>
    <col min="496" max="496" width="54.140625" style="53" customWidth="1"/>
    <col min="497" max="497" width="52" style="53" customWidth="1"/>
    <col min="498" max="498" width="5.28515625" style="53" customWidth="1"/>
    <col min="499" max="499" width="5.85546875" style="53" bestFit="1" customWidth="1"/>
    <col min="500" max="500" width="16.42578125" style="53" customWidth="1"/>
    <col min="501" max="501" width="4.5703125" style="53" customWidth="1"/>
    <col min="502" max="502" width="14.140625" style="53" customWidth="1"/>
    <col min="503" max="503" width="27.140625" style="53" customWidth="1"/>
    <col min="504" max="504" width="16.28515625" style="53" customWidth="1"/>
    <col min="505" max="505" width="13.85546875" style="53" customWidth="1"/>
    <col min="506" max="748" width="9.140625" style="53"/>
    <col min="749" max="749" width="1.7109375" style="53" customWidth="1"/>
    <col min="750" max="751" width="4.7109375" style="53" customWidth="1"/>
    <col min="752" max="752" width="54.140625" style="53" customWidth="1"/>
    <col min="753" max="753" width="52" style="53" customWidth="1"/>
    <col min="754" max="754" width="5.28515625" style="53" customWidth="1"/>
    <col min="755" max="755" width="5.85546875" style="53" bestFit="1" customWidth="1"/>
    <col min="756" max="756" width="16.42578125" style="53" customWidth="1"/>
    <col min="757" max="757" width="4.5703125" style="53" customWidth="1"/>
    <col min="758" max="758" width="14.140625" style="53" customWidth="1"/>
    <col min="759" max="759" width="27.140625" style="53" customWidth="1"/>
    <col min="760" max="760" width="16.28515625" style="53" customWidth="1"/>
    <col min="761" max="761" width="13.85546875" style="53" customWidth="1"/>
    <col min="762" max="1004" width="9.140625" style="53"/>
    <col min="1005" max="1005" width="1.7109375" style="53" customWidth="1"/>
    <col min="1006" max="1007" width="4.7109375" style="53" customWidth="1"/>
    <col min="1008" max="1008" width="54.140625" style="53" customWidth="1"/>
    <col min="1009" max="1009" width="52" style="53" customWidth="1"/>
    <col min="1010" max="1010" width="5.28515625" style="53" customWidth="1"/>
    <col min="1011" max="1011" width="5.85546875" style="53" bestFit="1" customWidth="1"/>
    <col min="1012" max="1012" width="16.42578125" style="53" customWidth="1"/>
    <col min="1013" max="1013" width="4.5703125" style="53" customWidth="1"/>
    <col min="1014" max="1014" width="14.140625" style="53" customWidth="1"/>
    <col min="1015" max="1015" width="27.140625" style="53" customWidth="1"/>
    <col min="1016" max="1016" width="16.28515625" style="53" customWidth="1"/>
    <col min="1017" max="1017" width="13.85546875" style="53" customWidth="1"/>
    <col min="1018" max="1260" width="9.140625" style="53"/>
    <col min="1261" max="1261" width="1.7109375" style="53" customWidth="1"/>
    <col min="1262" max="1263" width="4.7109375" style="53" customWidth="1"/>
    <col min="1264" max="1264" width="54.140625" style="53" customWidth="1"/>
    <col min="1265" max="1265" width="52" style="53" customWidth="1"/>
    <col min="1266" max="1266" width="5.28515625" style="53" customWidth="1"/>
    <col min="1267" max="1267" width="5.85546875" style="53" bestFit="1" customWidth="1"/>
    <col min="1268" max="1268" width="16.42578125" style="53" customWidth="1"/>
    <col min="1269" max="1269" width="4.5703125" style="53" customWidth="1"/>
    <col min="1270" max="1270" width="14.140625" style="53" customWidth="1"/>
    <col min="1271" max="1271" width="27.140625" style="53" customWidth="1"/>
    <col min="1272" max="1272" width="16.28515625" style="53" customWidth="1"/>
    <col min="1273" max="1273" width="13.85546875" style="53" customWidth="1"/>
    <col min="1274" max="1516" width="9.140625" style="53"/>
    <col min="1517" max="1517" width="1.7109375" style="53" customWidth="1"/>
    <col min="1518" max="1519" width="4.7109375" style="53" customWidth="1"/>
    <col min="1520" max="1520" width="54.140625" style="53" customWidth="1"/>
    <col min="1521" max="1521" width="52" style="53" customWidth="1"/>
    <col min="1522" max="1522" width="5.28515625" style="53" customWidth="1"/>
    <col min="1523" max="1523" width="5.85546875" style="53" bestFit="1" customWidth="1"/>
    <col min="1524" max="1524" width="16.42578125" style="53" customWidth="1"/>
    <col min="1525" max="1525" width="4.5703125" style="53" customWidth="1"/>
    <col min="1526" max="1526" width="14.140625" style="53" customWidth="1"/>
    <col min="1527" max="1527" width="27.140625" style="53" customWidth="1"/>
    <col min="1528" max="1528" width="16.28515625" style="53" customWidth="1"/>
    <col min="1529" max="1529" width="13.85546875" style="53" customWidth="1"/>
    <col min="1530" max="1772" width="9.140625" style="53"/>
    <col min="1773" max="1773" width="1.7109375" style="53" customWidth="1"/>
    <col min="1774" max="1775" width="4.7109375" style="53" customWidth="1"/>
    <col min="1776" max="1776" width="54.140625" style="53" customWidth="1"/>
    <col min="1777" max="1777" width="52" style="53" customWidth="1"/>
    <col min="1778" max="1778" width="5.28515625" style="53" customWidth="1"/>
    <col min="1779" max="1779" width="5.85546875" style="53" bestFit="1" customWidth="1"/>
    <col min="1780" max="1780" width="16.42578125" style="53" customWidth="1"/>
    <col min="1781" max="1781" width="4.5703125" style="53" customWidth="1"/>
    <col min="1782" max="1782" width="14.140625" style="53" customWidth="1"/>
    <col min="1783" max="1783" width="27.140625" style="53" customWidth="1"/>
    <col min="1784" max="1784" width="16.28515625" style="53" customWidth="1"/>
    <col min="1785" max="1785" width="13.85546875" style="53" customWidth="1"/>
    <col min="1786" max="2028" width="9.140625" style="53"/>
    <col min="2029" max="2029" width="1.7109375" style="53" customWidth="1"/>
    <col min="2030" max="2031" width="4.7109375" style="53" customWidth="1"/>
    <col min="2032" max="2032" width="54.140625" style="53" customWidth="1"/>
    <col min="2033" max="2033" width="52" style="53" customWidth="1"/>
    <col min="2034" max="2034" width="5.28515625" style="53" customWidth="1"/>
    <col min="2035" max="2035" width="5.85546875" style="53" bestFit="1" customWidth="1"/>
    <col min="2036" max="2036" width="16.42578125" style="53" customWidth="1"/>
    <col min="2037" max="2037" width="4.5703125" style="53" customWidth="1"/>
    <col min="2038" max="2038" width="14.140625" style="53" customWidth="1"/>
    <col min="2039" max="2039" width="27.140625" style="53" customWidth="1"/>
    <col min="2040" max="2040" width="16.28515625" style="53" customWidth="1"/>
    <col min="2041" max="2041" width="13.85546875" style="53" customWidth="1"/>
    <col min="2042" max="2284" width="9.140625" style="53"/>
    <col min="2285" max="2285" width="1.7109375" style="53" customWidth="1"/>
    <col min="2286" max="2287" width="4.7109375" style="53" customWidth="1"/>
    <col min="2288" max="2288" width="54.140625" style="53" customWidth="1"/>
    <col min="2289" max="2289" width="52" style="53" customWidth="1"/>
    <col min="2290" max="2290" width="5.28515625" style="53" customWidth="1"/>
    <col min="2291" max="2291" width="5.85546875" style="53" bestFit="1" customWidth="1"/>
    <col min="2292" max="2292" width="16.42578125" style="53" customWidth="1"/>
    <col min="2293" max="2293" width="4.5703125" style="53" customWidth="1"/>
    <col min="2294" max="2294" width="14.140625" style="53" customWidth="1"/>
    <col min="2295" max="2295" width="27.140625" style="53" customWidth="1"/>
    <col min="2296" max="2296" width="16.28515625" style="53" customWidth="1"/>
    <col min="2297" max="2297" width="13.85546875" style="53" customWidth="1"/>
    <col min="2298" max="2540" width="9.140625" style="53"/>
    <col min="2541" max="2541" width="1.7109375" style="53" customWidth="1"/>
    <col min="2542" max="2543" width="4.7109375" style="53" customWidth="1"/>
    <col min="2544" max="2544" width="54.140625" style="53" customWidth="1"/>
    <col min="2545" max="2545" width="52" style="53" customWidth="1"/>
    <col min="2546" max="2546" width="5.28515625" style="53" customWidth="1"/>
    <col min="2547" max="2547" width="5.85546875" style="53" bestFit="1" customWidth="1"/>
    <col min="2548" max="2548" width="16.42578125" style="53" customWidth="1"/>
    <col min="2549" max="2549" width="4.5703125" style="53" customWidth="1"/>
    <col min="2550" max="2550" width="14.140625" style="53" customWidth="1"/>
    <col min="2551" max="2551" width="27.140625" style="53" customWidth="1"/>
    <col min="2552" max="2552" width="16.28515625" style="53" customWidth="1"/>
    <col min="2553" max="2553" width="13.85546875" style="53" customWidth="1"/>
    <col min="2554" max="2796" width="9.140625" style="53"/>
    <col min="2797" max="2797" width="1.7109375" style="53" customWidth="1"/>
    <col min="2798" max="2799" width="4.7109375" style="53" customWidth="1"/>
    <col min="2800" max="2800" width="54.140625" style="53" customWidth="1"/>
    <col min="2801" max="2801" width="52" style="53" customWidth="1"/>
    <col min="2802" max="2802" width="5.28515625" style="53" customWidth="1"/>
    <col min="2803" max="2803" width="5.85546875" style="53" bestFit="1" customWidth="1"/>
    <col min="2804" max="2804" width="16.42578125" style="53" customWidth="1"/>
    <col min="2805" max="2805" width="4.5703125" style="53" customWidth="1"/>
    <col min="2806" max="2806" width="14.140625" style="53" customWidth="1"/>
    <col min="2807" max="2807" width="27.140625" style="53" customWidth="1"/>
    <col min="2808" max="2808" width="16.28515625" style="53" customWidth="1"/>
    <col min="2809" max="2809" width="13.85546875" style="53" customWidth="1"/>
    <col min="2810" max="3052" width="9.140625" style="53"/>
    <col min="3053" max="3053" width="1.7109375" style="53" customWidth="1"/>
    <col min="3054" max="3055" width="4.7109375" style="53" customWidth="1"/>
    <col min="3056" max="3056" width="54.140625" style="53" customWidth="1"/>
    <col min="3057" max="3057" width="52" style="53" customWidth="1"/>
    <col min="3058" max="3058" width="5.28515625" style="53" customWidth="1"/>
    <col min="3059" max="3059" width="5.85546875" style="53" bestFit="1" customWidth="1"/>
    <col min="3060" max="3060" width="16.42578125" style="53" customWidth="1"/>
    <col min="3061" max="3061" width="4.5703125" style="53" customWidth="1"/>
    <col min="3062" max="3062" width="14.140625" style="53" customWidth="1"/>
    <col min="3063" max="3063" width="27.140625" style="53" customWidth="1"/>
    <col min="3064" max="3064" width="16.28515625" style="53" customWidth="1"/>
    <col min="3065" max="3065" width="13.85546875" style="53" customWidth="1"/>
    <col min="3066" max="3308" width="9.140625" style="53"/>
    <col min="3309" max="3309" width="1.7109375" style="53" customWidth="1"/>
    <col min="3310" max="3311" width="4.7109375" style="53" customWidth="1"/>
    <col min="3312" max="3312" width="54.140625" style="53" customWidth="1"/>
    <col min="3313" max="3313" width="52" style="53" customWidth="1"/>
    <col min="3314" max="3314" width="5.28515625" style="53" customWidth="1"/>
    <col min="3315" max="3315" width="5.85546875" style="53" bestFit="1" customWidth="1"/>
    <col min="3316" max="3316" width="16.42578125" style="53" customWidth="1"/>
    <col min="3317" max="3317" width="4.5703125" style="53" customWidth="1"/>
    <col min="3318" max="3318" width="14.140625" style="53" customWidth="1"/>
    <col min="3319" max="3319" width="27.140625" style="53" customWidth="1"/>
    <col min="3320" max="3320" width="16.28515625" style="53" customWidth="1"/>
    <col min="3321" max="3321" width="13.85546875" style="53" customWidth="1"/>
    <col min="3322" max="3564" width="9.140625" style="53"/>
    <col min="3565" max="3565" width="1.7109375" style="53" customWidth="1"/>
    <col min="3566" max="3567" width="4.7109375" style="53" customWidth="1"/>
    <col min="3568" max="3568" width="54.140625" style="53" customWidth="1"/>
    <col min="3569" max="3569" width="52" style="53" customWidth="1"/>
    <col min="3570" max="3570" width="5.28515625" style="53" customWidth="1"/>
    <col min="3571" max="3571" width="5.85546875" style="53" bestFit="1" customWidth="1"/>
    <col min="3572" max="3572" width="16.42578125" style="53" customWidth="1"/>
    <col min="3573" max="3573" width="4.5703125" style="53" customWidth="1"/>
    <col min="3574" max="3574" width="14.140625" style="53" customWidth="1"/>
    <col min="3575" max="3575" width="27.140625" style="53" customWidth="1"/>
    <col min="3576" max="3576" width="16.28515625" style="53" customWidth="1"/>
    <col min="3577" max="3577" width="13.85546875" style="53" customWidth="1"/>
    <col min="3578" max="3820" width="9.140625" style="53"/>
    <col min="3821" max="3821" width="1.7109375" style="53" customWidth="1"/>
    <col min="3822" max="3823" width="4.7109375" style="53" customWidth="1"/>
    <col min="3824" max="3824" width="54.140625" style="53" customWidth="1"/>
    <col min="3825" max="3825" width="52" style="53" customWidth="1"/>
    <col min="3826" max="3826" width="5.28515625" style="53" customWidth="1"/>
    <col min="3827" max="3827" width="5.85546875" style="53" bestFit="1" customWidth="1"/>
    <col min="3828" max="3828" width="16.42578125" style="53" customWidth="1"/>
    <col min="3829" max="3829" width="4.5703125" style="53" customWidth="1"/>
    <col min="3830" max="3830" width="14.140625" style="53" customWidth="1"/>
    <col min="3831" max="3831" width="27.140625" style="53" customWidth="1"/>
    <col min="3832" max="3832" width="16.28515625" style="53" customWidth="1"/>
    <col min="3833" max="3833" width="13.85546875" style="53" customWidth="1"/>
    <col min="3834" max="4076" width="9.140625" style="53"/>
    <col min="4077" max="4077" width="1.7109375" style="53" customWidth="1"/>
    <col min="4078" max="4079" width="4.7109375" style="53" customWidth="1"/>
    <col min="4080" max="4080" width="54.140625" style="53" customWidth="1"/>
    <col min="4081" max="4081" width="52" style="53" customWidth="1"/>
    <col min="4082" max="4082" width="5.28515625" style="53" customWidth="1"/>
    <col min="4083" max="4083" width="5.85546875" style="53" bestFit="1" customWidth="1"/>
    <col min="4084" max="4084" width="16.42578125" style="53" customWidth="1"/>
    <col min="4085" max="4085" width="4.5703125" style="53" customWidth="1"/>
    <col min="4086" max="4086" width="14.140625" style="53" customWidth="1"/>
    <col min="4087" max="4087" width="27.140625" style="53" customWidth="1"/>
    <col min="4088" max="4088" width="16.28515625" style="53" customWidth="1"/>
    <col min="4089" max="4089" width="13.85546875" style="53" customWidth="1"/>
    <col min="4090" max="4332" width="9.140625" style="53"/>
    <col min="4333" max="4333" width="1.7109375" style="53" customWidth="1"/>
    <col min="4334" max="4335" width="4.7109375" style="53" customWidth="1"/>
    <col min="4336" max="4336" width="54.140625" style="53" customWidth="1"/>
    <col min="4337" max="4337" width="52" style="53" customWidth="1"/>
    <col min="4338" max="4338" width="5.28515625" style="53" customWidth="1"/>
    <col min="4339" max="4339" width="5.85546875" style="53" bestFit="1" customWidth="1"/>
    <col min="4340" max="4340" width="16.42578125" style="53" customWidth="1"/>
    <col min="4341" max="4341" width="4.5703125" style="53" customWidth="1"/>
    <col min="4342" max="4342" width="14.140625" style="53" customWidth="1"/>
    <col min="4343" max="4343" width="27.140625" style="53" customWidth="1"/>
    <col min="4344" max="4344" width="16.28515625" style="53" customWidth="1"/>
    <col min="4345" max="4345" width="13.85546875" style="53" customWidth="1"/>
    <col min="4346" max="4588" width="9.140625" style="53"/>
    <col min="4589" max="4589" width="1.7109375" style="53" customWidth="1"/>
    <col min="4590" max="4591" width="4.7109375" style="53" customWidth="1"/>
    <col min="4592" max="4592" width="54.140625" style="53" customWidth="1"/>
    <col min="4593" max="4593" width="52" style="53" customWidth="1"/>
    <col min="4594" max="4594" width="5.28515625" style="53" customWidth="1"/>
    <col min="4595" max="4595" width="5.85546875" style="53" bestFit="1" customWidth="1"/>
    <col min="4596" max="4596" width="16.42578125" style="53" customWidth="1"/>
    <col min="4597" max="4597" width="4.5703125" style="53" customWidth="1"/>
    <col min="4598" max="4598" width="14.140625" style="53" customWidth="1"/>
    <col min="4599" max="4599" width="27.140625" style="53" customWidth="1"/>
    <col min="4600" max="4600" width="16.28515625" style="53" customWidth="1"/>
    <col min="4601" max="4601" width="13.85546875" style="53" customWidth="1"/>
    <col min="4602" max="4844" width="9.140625" style="53"/>
    <col min="4845" max="4845" width="1.7109375" style="53" customWidth="1"/>
    <col min="4846" max="4847" width="4.7109375" style="53" customWidth="1"/>
    <col min="4848" max="4848" width="54.140625" style="53" customWidth="1"/>
    <col min="4849" max="4849" width="52" style="53" customWidth="1"/>
    <col min="4850" max="4850" width="5.28515625" style="53" customWidth="1"/>
    <col min="4851" max="4851" width="5.85546875" style="53" bestFit="1" customWidth="1"/>
    <col min="4852" max="4852" width="16.42578125" style="53" customWidth="1"/>
    <col min="4853" max="4853" width="4.5703125" style="53" customWidth="1"/>
    <col min="4854" max="4854" width="14.140625" style="53" customWidth="1"/>
    <col min="4855" max="4855" width="27.140625" style="53" customWidth="1"/>
    <col min="4856" max="4856" width="16.28515625" style="53" customWidth="1"/>
    <col min="4857" max="4857" width="13.85546875" style="53" customWidth="1"/>
    <col min="4858" max="5100" width="9.140625" style="53"/>
    <col min="5101" max="5101" width="1.7109375" style="53" customWidth="1"/>
    <col min="5102" max="5103" width="4.7109375" style="53" customWidth="1"/>
    <col min="5104" max="5104" width="54.140625" style="53" customWidth="1"/>
    <col min="5105" max="5105" width="52" style="53" customWidth="1"/>
    <col min="5106" max="5106" width="5.28515625" style="53" customWidth="1"/>
    <col min="5107" max="5107" width="5.85546875" style="53" bestFit="1" customWidth="1"/>
    <col min="5108" max="5108" width="16.42578125" style="53" customWidth="1"/>
    <col min="5109" max="5109" width="4.5703125" style="53" customWidth="1"/>
    <col min="5110" max="5110" width="14.140625" style="53" customWidth="1"/>
    <col min="5111" max="5111" width="27.140625" style="53" customWidth="1"/>
    <col min="5112" max="5112" width="16.28515625" style="53" customWidth="1"/>
    <col min="5113" max="5113" width="13.85546875" style="53" customWidth="1"/>
    <col min="5114" max="5356" width="9.140625" style="53"/>
    <col min="5357" max="5357" width="1.7109375" style="53" customWidth="1"/>
    <col min="5358" max="5359" width="4.7109375" style="53" customWidth="1"/>
    <col min="5360" max="5360" width="54.140625" style="53" customWidth="1"/>
    <col min="5361" max="5361" width="52" style="53" customWidth="1"/>
    <col min="5362" max="5362" width="5.28515625" style="53" customWidth="1"/>
    <col min="5363" max="5363" width="5.85546875" style="53" bestFit="1" customWidth="1"/>
    <col min="5364" max="5364" width="16.42578125" style="53" customWidth="1"/>
    <col min="5365" max="5365" width="4.5703125" style="53" customWidth="1"/>
    <col min="5366" max="5366" width="14.140625" style="53" customWidth="1"/>
    <col min="5367" max="5367" width="27.140625" style="53" customWidth="1"/>
    <col min="5368" max="5368" width="16.28515625" style="53" customWidth="1"/>
    <col min="5369" max="5369" width="13.85546875" style="53" customWidth="1"/>
    <col min="5370" max="5612" width="9.140625" style="53"/>
    <col min="5613" max="5613" width="1.7109375" style="53" customWidth="1"/>
    <col min="5614" max="5615" width="4.7109375" style="53" customWidth="1"/>
    <col min="5616" max="5616" width="54.140625" style="53" customWidth="1"/>
    <col min="5617" max="5617" width="52" style="53" customWidth="1"/>
    <col min="5618" max="5618" width="5.28515625" style="53" customWidth="1"/>
    <col min="5619" max="5619" width="5.85546875" style="53" bestFit="1" customWidth="1"/>
    <col min="5620" max="5620" width="16.42578125" style="53" customWidth="1"/>
    <col min="5621" max="5621" width="4.5703125" style="53" customWidth="1"/>
    <col min="5622" max="5622" width="14.140625" style="53" customWidth="1"/>
    <col min="5623" max="5623" width="27.140625" style="53" customWidth="1"/>
    <col min="5624" max="5624" width="16.28515625" style="53" customWidth="1"/>
    <col min="5625" max="5625" width="13.85546875" style="53" customWidth="1"/>
    <col min="5626" max="5868" width="9.140625" style="53"/>
    <col min="5869" max="5869" width="1.7109375" style="53" customWidth="1"/>
    <col min="5870" max="5871" width="4.7109375" style="53" customWidth="1"/>
    <col min="5872" max="5872" width="54.140625" style="53" customWidth="1"/>
    <col min="5873" max="5873" width="52" style="53" customWidth="1"/>
    <col min="5874" max="5874" width="5.28515625" style="53" customWidth="1"/>
    <col min="5875" max="5875" width="5.85546875" style="53" bestFit="1" customWidth="1"/>
    <col min="5876" max="5876" width="16.42578125" style="53" customWidth="1"/>
    <col min="5877" max="5877" width="4.5703125" style="53" customWidth="1"/>
    <col min="5878" max="5878" width="14.140625" style="53" customWidth="1"/>
    <col min="5879" max="5879" width="27.140625" style="53" customWidth="1"/>
    <col min="5880" max="5880" width="16.28515625" style="53" customWidth="1"/>
    <col min="5881" max="5881" width="13.85546875" style="53" customWidth="1"/>
    <col min="5882" max="6124" width="9.140625" style="53"/>
    <col min="6125" max="6125" width="1.7109375" style="53" customWidth="1"/>
    <col min="6126" max="6127" width="4.7109375" style="53" customWidth="1"/>
    <col min="6128" max="6128" width="54.140625" style="53" customWidth="1"/>
    <col min="6129" max="6129" width="52" style="53" customWidth="1"/>
    <col min="6130" max="6130" width="5.28515625" style="53" customWidth="1"/>
    <col min="6131" max="6131" width="5.85546875" style="53" bestFit="1" customWidth="1"/>
    <col min="6132" max="6132" width="16.42578125" style="53" customWidth="1"/>
    <col min="6133" max="6133" width="4.5703125" style="53" customWidth="1"/>
    <col min="6134" max="6134" width="14.140625" style="53" customWidth="1"/>
    <col min="6135" max="6135" width="27.140625" style="53" customWidth="1"/>
    <col min="6136" max="6136" width="16.28515625" style="53" customWidth="1"/>
    <col min="6137" max="6137" width="13.85546875" style="53" customWidth="1"/>
    <col min="6138" max="6380" width="9.140625" style="53"/>
    <col min="6381" max="6381" width="1.7109375" style="53" customWidth="1"/>
    <col min="6382" max="6383" width="4.7109375" style="53" customWidth="1"/>
    <col min="6384" max="6384" width="54.140625" style="53" customWidth="1"/>
    <col min="6385" max="6385" width="52" style="53" customWidth="1"/>
    <col min="6386" max="6386" width="5.28515625" style="53" customWidth="1"/>
    <col min="6387" max="6387" width="5.85546875" style="53" bestFit="1" customWidth="1"/>
    <col min="6388" max="6388" width="16.42578125" style="53" customWidth="1"/>
    <col min="6389" max="6389" width="4.5703125" style="53" customWidth="1"/>
    <col min="6390" max="6390" width="14.140625" style="53" customWidth="1"/>
    <col min="6391" max="6391" width="27.140625" style="53" customWidth="1"/>
    <col min="6392" max="6392" width="16.28515625" style="53" customWidth="1"/>
    <col min="6393" max="6393" width="13.85546875" style="53" customWidth="1"/>
    <col min="6394" max="6636" width="9.140625" style="53"/>
    <col min="6637" max="6637" width="1.7109375" style="53" customWidth="1"/>
    <col min="6638" max="6639" width="4.7109375" style="53" customWidth="1"/>
    <col min="6640" max="6640" width="54.140625" style="53" customWidth="1"/>
    <col min="6641" max="6641" width="52" style="53" customWidth="1"/>
    <col min="6642" max="6642" width="5.28515625" style="53" customWidth="1"/>
    <col min="6643" max="6643" width="5.85546875" style="53" bestFit="1" customWidth="1"/>
    <col min="6644" max="6644" width="16.42578125" style="53" customWidth="1"/>
    <col min="6645" max="6645" width="4.5703125" style="53" customWidth="1"/>
    <col min="6646" max="6646" width="14.140625" style="53" customWidth="1"/>
    <col min="6647" max="6647" width="27.140625" style="53" customWidth="1"/>
    <col min="6648" max="6648" width="16.28515625" style="53" customWidth="1"/>
    <col min="6649" max="6649" width="13.85546875" style="53" customWidth="1"/>
    <col min="6650" max="6892" width="9.140625" style="53"/>
    <col min="6893" max="6893" width="1.7109375" style="53" customWidth="1"/>
    <col min="6894" max="6895" width="4.7109375" style="53" customWidth="1"/>
    <col min="6896" max="6896" width="54.140625" style="53" customWidth="1"/>
    <col min="6897" max="6897" width="52" style="53" customWidth="1"/>
    <col min="6898" max="6898" width="5.28515625" style="53" customWidth="1"/>
    <col min="6899" max="6899" width="5.85546875" style="53" bestFit="1" customWidth="1"/>
    <col min="6900" max="6900" width="16.42578125" style="53" customWidth="1"/>
    <col min="6901" max="6901" width="4.5703125" style="53" customWidth="1"/>
    <col min="6902" max="6902" width="14.140625" style="53" customWidth="1"/>
    <col min="6903" max="6903" width="27.140625" style="53" customWidth="1"/>
    <col min="6904" max="6904" width="16.28515625" style="53" customWidth="1"/>
    <col min="6905" max="6905" width="13.85546875" style="53" customWidth="1"/>
    <col min="6906" max="7148" width="9.140625" style="53"/>
    <col min="7149" max="7149" width="1.7109375" style="53" customWidth="1"/>
    <col min="7150" max="7151" width="4.7109375" style="53" customWidth="1"/>
    <col min="7152" max="7152" width="54.140625" style="53" customWidth="1"/>
    <col min="7153" max="7153" width="52" style="53" customWidth="1"/>
    <col min="7154" max="7154" width="5.28515625" style="53" customWidth="1"/>
    <col min="7155" max="7155" width="5.85546875" style="53" bestFit="1" customWidth="1"/>
    <col min="7156" max="7156" width="16.42578125" style="53" customWidth="1"/>
    <col min="7157" max="7157" width="4.5703125" style="53" customWidth="1"/>
    <col min="7158" max="7158" width="14.140625" style="53" customWidth="1"/>
    <col min="7159" max="7159" width="27.140625" style="53" customWidth="1"/>
    <col min="7160" max="7160" width="16.28515625" style="53" customWidth="1"/>
    <col min="7161" max="7161" width="13.85546875" style="53" customWidth="1"/>
    <col min="7162" max="7404" width="9.140625" style="53"/>
    <col min="7405" max="7405" width="1.7109375" style="53" customWidth="1"/>
    <col min="7406" max="7407" width="4.7109375" style="53" customWidth="1"/>
    <col min="7408" max="7408" width="54.140625" style="53" customWidth="1"/>
    <col min="7409" max="7409" width="52" style="53" customWidth="1"/>
    <col min="7410" max="7410" width="5.28515625" style="53" customWidth="1"/>
    <col min="7411" max="7411" width="5.85546875" style="53" bestFit="1" customWidth="1"/>
    <col min="7412" max="7412" width="16.42578125" style="53" customWidth="1"/>
    <col min="7413" max="7413" width="4.5703125" style="53" customWidth="1"/>
    <col min="7414" max="7414" width="14.140625" style="53" customWidth="1"/>
    <col min="7415" max="7415" width="27.140625" style="53" customWidth="1"/>
    <col min="7416" max="7416" width="16.28515625" style="53" customWidth="1"/>
    <col min="7417" max="7417" width="13.85546875" style="53" customWidth="1"/>
    <col min="7418" max="7660" width="9.140625" style="53"/>
    <col min="7661" max="7661" width="1.7109375" style="53" customWidth="1"/>
    <col min="7662" max="7663" width="4.7109375" style="53" customWidth="1"/>
    <col min="7664" max="7664" width="54.140625" style="53" customWidth="1"/>
    <col min="7665" max="7665" width="52" style="53" customWidth="1"/>
    <col min="7666" max="7666" width="5.28515625" style="53" customWidth="1"/>
    <col min="7667" max="7667" width="5.85546875" style="53" bestFit="1" customWidth="1"/>
    <col min="7668" max="7668" width="16.42578125" style="53" customWidth="1"/>
    <col min="7669" max="7669" width="4.5703125" style="53" customWidth="1"/>
    <col min="7670" max="7670" width="14.140625" style="53" customWidth="1"/>
    <col min="7671" max="7671" width="27.140625" style="53" customWidth="1"/>
    <col min="7672" max="7672" width="16.28515625" style="53" customWidth="1"/>
    <col min="7673" max="7673" width="13.85546875" style="53" customWidth="1"/>
    <col min="7674" max="7916" width="9.140625" style="53"/>
    <col min="7917" max="7917" width="1.7109375" style="53" customWidth="1"/>
    <col min="7918" max="7919" width="4.7109375" style="53" customWidth="1"/>
    <col min="7920" max="7920" width="54.140625" style="53" customWidth="1"/>
    <col min="7921" max="7921" width="52" style="53" customWidth="1"/>
    <col min="7922" max="7922" width="5.28515625" style="53" customWidth="1"/>
    <col min="7923" max="7923" width="5.85546875" style="53" bestFit="1" customWidth="1"/>
    <col min="7924" max="7924" width="16.42578125" style="53" customWidth="1"/>
    <col min="7925" max="7925" width="4.5703125" style="53" customWidth="1"/>
    <col min="7926" max="7926" width="14.140625" style="53" customWidth="1"/>
    <col min="7927" max="7927" width="27.140625" style="53" customWidth="1"/>
    <col min="7928" max="7928" width="16.28515625" style="53" customWidth="1"/>
    <col min="7929" max="7929" width="13.85546875" style="53" customWidth="1"/>
    <col min="7930" max="8172" width="9.140625" style="53"/>
    <col min="8173" max="8173" width="1.7109375" style="53" customWidth="1"/>
    <col min="8174" max="8175" width="4.7109375" style="53" customWidth="1"/>
    <col min="8176" max="8176" width="54.140625" style="53" customWidth="1"/>
    <col min="8177" max="8177" width="52" style="53" customWidth="1"/>
    <col min="8178" max="8178" width="5.28515625" style="53" customWidth="1"/>
    <col min="8179" max="8179" width="5.85546875" style="53" bestFit="1" customWidth="1"/>
    <col min="8180" max="8180" width="16.42578125" style="53" customWidth="1"/>
    <col min="8181" max="8181" width="4.5703125" style="53" customWidth="1"/>
    <col min="8182" max="8182" width="14.140625" style="53" customWidth="1"/>
    <col min="8183" max="8183" width="27.140625" style="53" customWidth="1"/>
    <col min="8184" max="8184" width="16.28515625" style="53" customWidth="1"/>
    <col min="8185" max="8185" width="13.85546875" style="53" customWidth="1"/>
    <col min="8186" max="8428" width="9.140625" style="53"/>
    <col min="8429" max="8429" width="1.7109375" style="53" customWidth="1"/>
    <col min="8430" max="8431" width="4.7109375" style="53" customWidth="1"/>
    <col min="8432" max="8432" width="54.140625" style="53" customWidth="1"/>
    <col min="8433" max="8433" width="52" style="53" customWidth="1"/>
    <col min="8434" max="8434" width="5.28515625" style="53" customWidth="1"/>
    <col min="8435" max="8435" width="5.85546875" style="53" bestFit="1" customWidth="1"/>
    <col min="8436" max="8436" width="16.42578125" style="53" customWidth="1"/>
    <col min="8437" max="8437" width="4.5703125" style="53" customWidth="1"/>
    <col min="8438" max="8438" width="14.140625" style="53" customWidth="1"/>
    <col min="8439" max="8439" width="27.140625" style="53" customWidth="1"/>
    <col min="8440" max="8440" width="16.28515625" style="53" customWidth="1"/>
    <col min="8441" max="8441" width="13.85546875" style="53" customWidth="1"/>
    <col min="8442" max="8684" width="9.140625" style="53"/>
    <col min="8685" max="8685" width="1.7109375" style="53" customWidth="1"/>
    <col min="8686" max="8687" width="4.7109375" style="53" customWidth="1"/>
    <col min="8688" max="8688" width="54.140625" style="53" customWidth="1"/>
    <col min="8689" max="8689" width="52" style="53" customWidth="1"/>
    <col min="8690" max="8690" width="5.28515625" style="53" customWidth="1"/>
    <col min="8691" max="8691" width="5.85546875" style="53" bestFit="1" customWidth="1"/>
    <col min="8692" max="8692" width="16.42578125" style="53" customWidth="1"/>
    <col min="8693" max="8693" width="4.5703125" style="53" customWidth="1"/>
    <col min="8694" max="8694" width="14.140625" style="53" customWidth="1"/>
    <col min="8695" max="8695" width="27.140625" style="53" customWidth="1"/>
    <col min="8696" max="8696" width="16.28515625" style="53" customWidth="1"/>
    <col min="8697" max="8697" width="13.85546875" style="53" customWidth="1"/>
    <col min="8698" max="8940" width="9.140625" style="53"/>
    <col min="8941" max="8941" width="1.7109375" style="53" customWidth="1"/>
    <col min="8942" max="8943" width="4.7109375" style="53" customWidth="1"/>
    <col min="8944" max="8944" width="54.140625" style="53" customWidth="1"/>
    <col min="8945" max="8945" width="52" style="53" customWidth="1"/>
    <col min="8946" max="8946" width="5.28515625" style="53" customWidth="1"/>
    <col min="8947" max="8947" width="5.85546875" style="53" bestFit="1" customWidth="1"/>
    <col min="8948" max="8948" width="16.42578125" style="53" customWidth="1"/>
    <col min="8949" max="8949" width="4.5703125" style="53" customWidth="1"/>
    <col min="8950" max="8950" width="14.140625" style="53" customWidth="1"/>
    <col min="8951" max="8951" width="27.140625" style="53" customWidth="1"/>
    <col min="8952" max="8952" width="16.28515625" style="53" customWidth="1"/>
    <col min="8953" max="8953" width="13.85546875" style="53" customWidth="1"/>
    <col min="8954" max="9196" width="9.140625" style="53"/>
    <col min="9197" max="9197" width="1.7109375" style="53" customWidth="1"/>
    <col min="9198" max="9199" width="4.7109375" style="53" customWidth="1"/>
    <col min="9200" max="9200" width="54.140625" style="53" customWidth="1"/>
    <col min="9201" max="9201" width="52" style="53" customWidth="1"/>
    <col min="9202" max="9202" width="5.28515625" style="53" customWidth="1"/>
    <col min="9203" max="9203" width="5.85546875" style="53" bestFit="1" customWidth="1"/>
    <col min="9204" max="9204" width="16.42578125" style="53" customWidth="1"/>
    <col min="9205" max="9205" width="4.5703125" style="53" customWidth="1"/>
    <col min="9206" max="9206" width="14.140625" style="53" customWidth="1"/>
    <col min="9207" max="9207" width="27.140625" style="53" customWidth="1"/>
    <col min="9208" max="9208" width="16.28515625" style="53" customWidth="1"/>
    <col min="9209" max="9209" width="13.85546875" style="53" customWidth="1"/>
    <col min="9210" max="9452" width="9.140625" style="53"/>
    <col min="9453" max="9453" width="1.7109375" style="53" customWidth="1"/>
    <col min="9454" max="9455" width="4.7109375" style="53" customWidth="1"/>
    <col min="9456" max="9456" width="54.140625" style="53" customWidth="1"/>
    <col min="9457" max="9457" width="52" style="53" customWidth="1"/>
    <col min="9458" max="9458" width="5.28515625" style="53" customWidth="1"/>
    <col min="9459" max="9459" width="5.85546875" style="53" bestFit="1" customWidth="1"/>
    <col min="9460" max="9460" width="16.42578125" style="53" customWidth="1"/>
    <col min="9461" max="9461" width="4.5703125" style="53" customWidth="1"/>
    <col min="9462" max="9462" width="14.140625" style="53" customWidth="1"/>
    <col min="9463" max="9463" width="27.140625" style="53" customWidth="1"/>
    <col min="9464" max="9464" width="16.28515625" style="53" customWidth="1"/>
    <col min="9465" max="9465" width="13.85546875" style="53" customWidth="1"/>
    <col min="9466" max="9708" width="9.140625" style="53"/>
    <col min="9709" max="9709" width="1.7109375" style="53" customWidth="1"/>
    <col min="9710" max="9711" width="4.7109375" style="53" customWidth="1"/>
    <col min="9712" max="9712" width="54.140625" style="53" customWidth="1"/>
    <col min="9713" max="9713" width="52" style="53" customWidth="1"/>
    <col min="9714" max="9714" width="5.28515625" style="53" customWidth="1"/>
    <col min="9715" max="9715" width="5.85546875" style="53" bestFit="1" customWidth="1"/>
    <col min="9716" max="9716" width="16.42578125" style="53" customWidth="1"/>
    <col min="9717" max="9717" width="4.5703125" style="53" customWidth="1"/>
    <col min="9718" max="9718" width="14.140625" style="53" customWidth="1"/>
    <col min="9719" max="9719" width="27.140625" style="53" customWidth="1"/>
    <col min="9720" max="9720" width="16.28515625" style="53" customWidth="1"/>
    <col min="9721" max="9721" width="13.85546875" style="53" customWidth="1"/>
    <col min="9722" max="9964" width="9.140625" style="53"/>
    <col min="9965" max="9965" width="1.7109375" style="53" customWidth="1"/>
    <col min="9966" max="9967" width="4.7109375" style="53" customWidth="1"/>
    <col min="9968" max="9968" width="54.140625" style="53" customWidth="1"/>
    <col min="9969" max="9969" width="52" style="53" customWidth="1"/>
    <col min="9970" max="9970" width="5.28515625" style="53" customWidth="1"/>
    <col min="9971" max="9971" width="5.85546875" style="53" bestFit="1" customWidth="1"/>
    <col min="9972" max="9972" width="16.42578125" style="53" customWidth="1"/>
    <col min="9973" max="9973" width="4.5703125" style="53" customWidth="1"/>
    <col min="9974" max="9974" width="14.140625" style="53" customWidth="1"/>
    <col min="9975" max="9975" width="27.140625" style="53" customWidth="1"/>
    <col min="9976" max="9976" width="16.28515625" style="53" customWidth="1"/>
    <col min="9977" max="9977" width="13.85546875" style="53" customWidth="1"/>
    <col min="9978" max="10220" width="9.140625" style="53"/>
    <col min="10221" max="10221" width="1.7109375" style="53" customWidth="1"/>
    <col min="10222" max="10223" width="4.7109375" style="53" customWidth="1"/>
    <col min="10224" max="10224" width="54.140625" style="53" customWidth="1"/>
    <col min="10225" max="10225" width="52" style="53" customWidth="1"/>
    <col min="10226" max="10226" width="5.28515625" style="53" customWidth="1"/>
    <col min="10227" max="10227" width="5.85546875" style="53" bestFit="1" customWidth="1"/>
    <col min="10228" max="10228" width="16.42578125" style="53" customWidth="1"/>
    <col min="10229" max="10229" width="4.5703125" style="53" customWidth="1"/>
    <col min="10230" max="10230" width="14.140625" style="53" customWidth="1"/>
    <col min="10231" max="10231" width="27.140625" style="53" customWidth="1"/>
    <col min="10232" max="10232" width="16.28515625" style="53" customWidth="1"/>
    <col min="10233" max="10233" width="13.85546875" style="53" customWidth="1"/>
    <col min="10234" max="10476" width="9.140625" style="53"/>
    <col min="10477" max="10477" width="1.7109375" style="53" customWidth="1"/>
    <col min="10478" max="10479" width="4.7109375" style="53" customWidth="1"/>
    <col min="10480" max="10480" width="54.140625" style="53" customWidth="1"/>
    <col min="10481" max="10481" width="52" style="53" customWidth="1"/>
    <col min="10482" max="10482" width="5.28515625" style="53" customWidth="1"/>
    <col min="10483" max="10483" width="5.85546875" style="53" bestFit="1" customWidth="1"/>
    <col min="10484" max="10484" width="16.42578125" style="53" customWidth="1"/>
    <col min="10485" max="10485" width="4.5703125" style="53" customWidth="1"/>
    <col min="10486" max="10486" width="14.140625" style="53" customWidth="1"/>
    <col min="10487" max="10487" width="27.140625" style="53" customWidth="1"/>
    <col min="10488" max="10488" width="16.28515625" style="53" customWidth="1"/>
    <col min="10489" max="10489" width="13.85546875" style="53" customWidth="1"/>
    <col min="10490" max="10732" width="9.140625" style="53"/>
    <col min="10733" max="10733" width="1.7109375" style="53" customWidth="1"/>
    <col min="10734" max="10735" width="4.7109375" style="53" customWidth="1"/>
    <col min="10736" max="10736" width="54.140625" style="53" customWidth="1"/>
    <col min="10737" max="10737" width="52" style="53" customWidth="1"/>
    <col min="10738" max="10738" width="5.28515625" style="53" customWidth="1"/>
    <col min="10739" max="10739" width="5.85546875" style="53" bestFit="1" customWidth="1"/>
    <col min="10740" max="10740" width="16.42578125" style="53" customWidth="1"/>
    <col min="10741" max="10741" width="4.5703125" style="53" customWidth="1"/>
    <col min="10742" max="10742" width="14.140625" style="53" customWidth="1"/>
    <col min="10743" max="10743" width="27.140625" style="53" customWidth="1"/>
    <col min="10744" max="10744" width="16.28515625" style="53" customWidth="1"/>
    <col min="10745" max="10745" width="13.85546875" style="53" customWidth="1"/>
    <col min="10746" max="10988" width="9.140625" style="53"/>
    <col min="10989" max="10989" width="1.7109375" style="53" customWidth="1"/>
    <col min="10990" max="10991" width="4.7109375" style="53" customWidth="1"/>
    <col min="10992" max="10992" width="54.140625" style="53" customWidth="1"/>
    <col min="10993" max="10993" width="52" style="53" customWidth="1"/>
    <col min="10994" max="10994" width="5.28515625" style="53" customWidth="1"/>
    <col min="10995" max="10995" width="5.85546875" style="53" bestFit="1" customWidth="1"/>
    <col min="10996" max="10996" width="16.42578125" style="53" customWidth="1"/>
    <col min="10997" max="10997" width="4.5703125" style="53" customWidth="1"/>
    <col min="10998" max="10998" width="14.140625" style="53" customWidth="1"/>
    <col min="10999" max="10999" width="27.140625" style="53" customWidth="1"/>
    <col min="11000" max="11000" width="16.28515625" style="53" customWidth="1"/>
    <col min="11001" max="11001" width="13.85546875" style="53" customWidth="1"/>
    <col min="11002" max="11244" width="9.140625" style="53"/>
    <col min="11245" max="11245" width="1.7109375" style="53" customWidth="1"/>
    <col min="11246" max="11247" width="4.7109375" style="53" customWidth="1"/>
    <col min="11248" max="11248" width="54.140625" style="53" customWidth="1"/>
    <col min="11249" max="11249" width="52" style="53" customWidth="1"/>
    <col min="11250" max="11250" width="5.28515625" style="53" customWidth="1"/>
    <col min="11251" max="11251" width="5.85546875" style="53" bestFit="1" customWidth="1"/>
    <col min="11252" max="11252" width="16.42578125" style="53" customWidth="1"/>
    <col min="11253" max="11253" width="4.5703125" style="53" customWidth="1"/>
    <col min="11254" max="11254" width="14.140625" style="53" customWidth="1"/>
    <col min="11255" max="11255" width="27.140625" style="53" customWidth="1"/>
    <col min="11256" max="11256" width="16.28515625" style="53" customWidth="1"/>
    <col min="11257" max="11257" width="13.85546875" style="53" customWidth="1"/>
    <col min="11258" max="11500" width="9.140625" style="53"/>
    <col min="11501" max="11501" width="1.7109375" style="53" customWidth="1"/>
    <col min="11502" max="11503" width="4.7109375" style="53" customWidth="1"/>
    <col min="11504" max="11504" width="54.140625" style="53" customWidth="1"/>
    <col min="11505" max="11505" width="52" style="53" customWidth="1"/>
    <col min="11506" max="11506" width="5.28515625" style="53" customWidth="1"/>
    <col min="11507" max="11507" width="5.85546875" style="53" bestFit="1" customWidth="1"/>
    <col min="11508" max="11508" width="16.42578125" style="53" customWidth="1"/>
    <col min="11509" max="11509" width="4.5703125" style="53" customWidth="1"/>
    <col min="11510" max="11510" width="14.140625" style="53" customWidth="1"/>
    <col min="11511" max="11511" width="27.140625" style="53" customWidth="1"/>
    <col min="11512" max="11512" width="16.28515625" style="53" customWidth="1"/>
    <col min="11513" max="11513" width="13.85546875" style="53" customWidth="1"/>
    <col min="11514" max="11756" width="9.140625" style="53"/>
    <col min="11757" max="11757" width="1.7109375" style="53" customWidth="1"/>
    <col min="11758" max="11759" width="4.7109375" style="53" customWidth="1"/>
    <col min="11760" max="11760" width="54.140625" style="53" customWidth="1"/>
    <col min="11761" max="11761" width="52" style="53" customWidth="1"/>
    <col min="11762" max="11762" width="5.28515625" style="53" customWidth="1"/>
    <col min="11763" max="11763" width="5.85546875" style="53" bestFit="1" customWidth="1"/>
    <col min="11764" max="11764" width="16.42578125" style="53" customWidth="1"/>
    <col min="11765" max="11765" width="4.5703125" style="53" customWidth="1"/>
    <col min="11766" max="11766" width="14.140625" style="53" customWidth="1"/>
    <col min="11767" max="11767" width="27.140625" style="53" customWidth="1"/>
    <col min="11768" max="11768" width="16.28515625" style="53" customWidth="1"/>
    <col min="11769" max="11769" width="13.85546875" style="53" customWidth="1"/>
    <col min="11770" max="12012" width="9.140625" style="53"/>
    <col min="12013" max="12013" width="1.7109375" style="53" customWidth="1"/>
    <col min="12014" max="12015" width="4.7109375" style="53" customWidth="1"/>
    <col min="12016" max="12016" width="54.140625" style="53" customWidth="1"/>
    <col min="12017" max="12017" width="52" style="53" customWidth="1"/>
    <col min="12018" max="12018" width="5.28515625" style="53" customWidth="1"/>
    <col min="12019" max="12019" width="5.85546875" style="53" bestFit="1" customWidth="1"/>
    <col min="12020" max="12020" width="16.42578125" style="53" customWidth="1"/>
    <col min="12021" max="12021" width="4.5703125" style="53" customWidth="1"/>
    <col min="12022" max="12022" width="14.140625" style="53" customWidth="1"/>
    <col min="12023" max="12023" width="27.140625" style="53" customWidth="1"/>
    <col min="12024" max="12024" width="16.28515625" style="53" customWidth="1"/>
    <col min="12025" max="12025" width="13.85546875" style="53" customWidth="1"/>
    <col min="12026" max="12268" width="9.140625" style="53"/>
    <col min="12269" max="12269" width="1.7109375" style="53" customWidth="1"/>
    <col min="12270" max="12271" width="4.7109375" style="53" customWidth="1"/>
    <col min="12272" max="12272" width="54.140625" style="53" customWidth="1"/>
    <col min="12273" max="12273" width="52" style="53" customWidth="1"/>
    <col min="12274" max="12274" width="5.28515625" style="53" customWidth="1"/>
    <col min="12275" max="12275" width="5.85546875" style="53" bestFit="1" customWidth="1"/>
    <col min="12276" max="12276" width="16.42578125" style="53" customWidth="1"/>
    <col min="12277" max="12277" width="4.5703125" style="53" customWidth="1"/>
    <col min="12278" max="12278" width="14.140625" style="53" customWidth="1"/>
    <col min="12279" max="12279" width="27.140625" style="53" customWidth="1"/>
    <col min="12280" max="12280" width="16.28515625" style="53" customWidth="1"/>
    <col min="12281" max="12281" width="13.85546875" style="53" customWidth="1"/>
    <col min="12282" max="12524" width="9.140625" style="53"/>
    <col min="12525" max="12525" width="1.7109375" style="53" customWidth="1"/>
    <col min="12526" max="12527" width="4.7109375" style="53" customWidth="1"/>
    <col min="12528" max="12528" width="54.140625" style="53" customWidth="1"/>
    <col min="12529" max="12529" width="52" style="53" customWidth="1"/>
    <col min="12530" max="12530" width="5.28515625" style="53" customWidth="1"/>
    <col min="12531" max="12531" width="5.85546875" style="53" bestFit="1" customWidth="1"/>
    <col min="12532" max="12532" width="16.42578125" style="53" customWidth="1"/>
    <col min="12533" max="12533" width="4.5703125" style="53" customWidth="1"/>
    <col min="12534" max="12534" width="14.140625" style="53" customWidth="1"/>
    <col min="12535" max="12535" width="27.140625" style="53" customWidth="1"/>
    <col min="12536" max="12536" width="16.28515625" style="53" customWidth="1"/>
    <col min="12537" max="12537" width="13.85546875" style="53" customWidth="1"/>
    <col min="12538" max="12780" width="9.140625" style="53"/>
    <col min="12781" max="12781" width="1.7109375" style="53" customWidth="1"/>
    <col min="12782" max="12783" width="4.7109375" style="53" customWidth="1"/>
    <col min="12784" max="12784" width="54.140625" style="53" customWidth="1"/>
    <col min="12785" max="12785" width="52" style="53" customWidth="1"/>
    <col min="12786" max="12786" width="5.28515625" style="53" customWidth="1"/>
    <col min="12787" max="12787" width="5.85546875" style="53" bestFit="1" customWidth="1"/>
    <col min="12788" max="12788" width="16.42578125" style="53" customWidth="1"/>
    <col min="12789" max="12789" width="4.5703125" style="53" customWidth="1"/>
    <col min="12790" max="12790" width="14.140625" style="53" customWidth="1"/>
    <col min="12791" max="12791" width="27.140625" style="53" customWidth="1"/>
    <col min="12792" max="12792" width="16.28515625" style="53" customWidth="1"/>
    <col min="12793" max="12793" width="13.85546875" style="53" customWidth="1"/>
    <col min="12794" max="13036" width="9.140625" style="53"/>
    <col min="13037" max="13037" width="1.7109375" style="53" customWidth="1"/>
    <col min="13038" max="13039" width="4.7109375" style="53" customWidth="1"/>
    <col min="13040" max="13040" width="54.140625" style="53" customWidth="1"/>
    <col min="13041" max="13041" width="52" style="53" customWidth="1"/>
    <col min="13042" max="13042" width="5.28515625" style="53" customWidth="1"/>
    <col min="13043" max="13043" width="5.85546875" style="53" bestFit="1" customWidth="1"/>
    <col min="13044" max="13044" width="16.42578125" style="53" customWidth="1"/>
    <col min="13045" max="13045" width="4.5703125" style="53" customWidth="1"/>
    <col min="13046" max="13046" width="14.140625" style="53" customWidth="1"/>
    <col min="13047" max="13047" width="27.140625" style="53" customWidth="1"/>
    <col min="13048" max="13048" width="16.28515625" style="53" customWidth="1"/>
    <col min="13049" max="13049" width="13.85546875" style="53" customWidth="1"/>
    <col min="13050" max="13292" width="9.140625" style="53"/>
    <col min="13293" max="13293" width="1.7109375" style="53" customWidth="1"/>
    <col min="13294" max="13295" width="4.7109375" style="53" customWidth="1"/>
    <col min="13296" max="13296" width="54.140625" style="53" customWidth="1"/>
    <col min="13297" max="13297" width="52" style="53" customWidth="1"/>
    <col min="13298" max="13298" width="5.28515625" style="53" customWidth="1"/>
    <col min="13299" max="13299" width="5.85546875" style="53" bestFit="1" customWidth="1"/>
    <col min="13300" max="13300" width="16.42578125" style="53" customWidth="1"/>
    <col min="13301" max="13301" width="4.5703125" style="53" customWidth="1"/>
    <col min="13302" max="13302" width="14.140625" style="53" customWidth="1"/>
    <col min="13303" max="13303" width="27.140625" style="53" customWidth="1"/>
    <col min="13304" max="13304" width="16.28515625" style="53" customWidth="1"/>
    <col min="13305" max="13305" width="13.85546875" style="53" customWidth="1"/>
    <col min="13306" max="13548" width="9.140625" style="53"/>
    <col min="13549" max="13549" width="1.7109375" style="53" customWidth="1"/>
    <col min="13550" max="13551" width="4.7109375" style="53" customWidth="1"/>
    <col min="13552" max="13552" width="54.140625" style="53" customWidth="1"/>
    <col min="13553" max="13553" width="52" style="53" customWidth="1"/>
    <col min="13554" max="13554" width="5.28515625" style="53" customWidth="1"/>
    <col min="13555" max="13555" width="5.85546875" style="53" bestFit="1" customWidth="1"/>
    <col min="13556" max="13556" width="16.42578125" style="53" customWidth="1"/>
    <col min="13557" max="13557" width="4.5703125" style="53" customWidth="1"/>
    <col min="13558" max="13558" width="14.140625" style="53" customWidth="1"/>
    <col min="13559" max="13559" width="27.140625" style="53" customWidth="1"/>
    <col min="13560" max="13560" width="16.28515625" style="53" customWidth="1"/>
    <col min="13561" max="13561" width="13.85546875" style="53" customWidth="1"/>
    <col min="13562" max="13804" width="9.140625" style="53"/>
    <col min="13805" max="13805" width="1.7109375" style="53" customWidth="1"/>
    <col min="13806" max="13807" width="4.7109375" style="53" customWidth="1"/>
    <col min="13808" max="13808" width="54.140625" style="53" customWidth="1"/>
    <col min="13809" max="13809" width="52" style="53" customWidth="1"/>
    <col min="13810" max="13810" width="5.28515625" style="53" customWidth="1"/>
    <col min="13811" max="13811" width="5.85546875" style="53" bestFit="1" customWidth="1"/>
    <col min="13812" max="13812" width="16.42578125" style="53" customWidth="1"/>
    <col min="13813" max="13813" width="4.5703125" style="53" customWidth="1"/>
    <col min="13814" max="13814" width="14.140625" style="53" customWidth="1"/>
    <col min="13815" max="13815" width="27.140625" style="53" customWidth="1"/>
    <col min="13816" max="13816" width="16.28515625" style="53" customWidth="1"/>
    <col min="13817" max="13817" width="13.85546875" style="53" customWidth="1"/>
    <col min="13818" max="14060" width="9.140625" style="53"/>
    <col min="14061" max="14061" width="1.7109375" style="53" customWidth="1"/>
    <col min="14062" max="14063" width="4.7109375" style="53" customWidth="1"/>
    <col min="14064" max="14064" width="54.140625" style="53" customWidth="1"/>
    <col min="14065" max="14065" width="52" style="53" customWidth="1"/>
    <col min="14066" max="14066" width="5.28515625" style="53" customWidth="1"/>
    <col min="14067" max="14067" width="5.85546875" style="53" bestFit="1" customWidth="1"/>
    <col min="14068" max="14068" width="16.42578125" style="53" customWidth="1"/>
    <col min="14069" max="14069" width="4.5703125" style="53" customWidth="1"/>
    <col min="14070" max="14070" width="14.140625" style="53" customWidth="1"/>
    <col min="14071" max="14071" width="27.140625" style="53" customWidth="1"/>
    <col min="14072" max="14072" width="16.28515625" style="53" customWidth="1"/>
    <col min="14073" max="14073" width="13.85546875" style="53" customWidth="1"/>
    <col min="14074" max="14316" width="9.140625" style="53"/>
    <col min="14317" max="14317" width="1.7109375" style="53" customWidth="1"/>
    <col min="14318" max="14319" width="4.7109375" style="53" customWidth="1"/>
    <col min="14320" max="14320" width="54.140625" style="53" customWidth="1"/>
    <col min="14321" max="14321" width="52" style="53" customWidth="1"/>
    <col min="14322" max="14322" width="5.28515625" style="53" customWidth="1"/>
    <col min="14323" max="14323" width="5.85546875" style="53" bestFit="1" customWidth="1"/>
    <col min="14324" max="14324" width="16.42578125" style="53" customWidth="1"/>
    <col min="14325" max="14325" width="4.5703125" style="53" customWidth="1"/>
    <col min="14326" max="14326" width="14.140625" style="53" customWidth="1"/>
    <col min="14327" max="14327" width="27.140625" style="53" customWidth="1"/>
    <col min="14328" max="14328" width="16.28515625" style="53" customWidth="1"/>
    <col min="14329" max="14329" width="13.85546875" style="53" customWidth="1"/>
    <col min="14330" max="14572" width="9.140625" style="53"/>
    <col min="14573" max="14573" width="1.7109375" style="53" customWidth="1"/>
    <col min="14574" max="14575" width="4.7109375" style="53" customWidth="1"/>
    <col min="14576" max="14576" width="54.140625" style="53" customWidth="1"/>
    <col min="14577" max="14577" width="52" style="53" customWidth="1"/>
    <col min="14578" max="14578" width="5.28515625" style="53" customWidth="1"/>
    <col min="14579" max="14579" width="5.85546875" style="53" bestFit="1" customWidth="1"/>
    <col min="14580" max="14580" width="16.42578125" style="53" customWidth="1"/>
    <col min="14581" max="14581" width="4.5703125" style="53" customWidth="1"/>
    <col min="14582" max="14582" width="14.140625" style="53" customWidth="1"/>
    <col min="14583" max="14583" width="27.140625" style="53" customWidth="1"/>
    <col min="14584" max="14584" width="16.28515625" style="53" customWidth="1"/>
    <col min="14585" max="14585" width="13.85546875" style="53" customWidth="1"/>
    <col min="14586" max="14828" width="9.140625" style="53"/>
    <col min="14829" max="14829" width="1.7109375" style="53" customWidth="1"/>
    <col min="14830" max="14831" width="4.7109375" style="53" customWidth="1"/>
    <col min="14832" max="14832" width="54.140625" style="53" customWidth="1"/>
    <col min="14833" max="14833" width="52" style="53" customWidth="1"/>
    <col min="14834" max="14834" width="5.28515625" style="53" customWidth="1"/>
    <col min="14835" max="14835" width="5.85546875" style="53" bestFit="1" customWidth="1"/>
    <col min="14836" max="14836" width="16.42578125" style="53" customWidth="1"/>
    <col min="14837" max="14837" width="4.5703125" style="53" customWidth="1"/>
    <col min="14838" max="14838" width="14.140625" style="53" customWidth="1"/>
    <col min="14839" max="14839" width="27.140625" style="53" customWidth="1"/>
    <col min="14840" max="14840" width="16.28515625" style="53" customWidth="1"/>
    <col min="14841" max="14841" width="13.85546875" style="53" customWidth="1"/>
    <col min="14842" max="15084" width="9.140625" style="53"/>
    <col min="15085" max="15085" width="1.7109375" style="53" customWidth="1"/>
    <col min="15086" max="15087" width="4.7109375" style="53" customWidth="1"/>
    <col min="15088" max="15088" width="54.140625" style="53" customWidth="1"/>
    <col min="15089" max="15089" width="52" style="53" customWidth="1"/>
    <col min="15090" max="15090" width="5.28515625" style="53" customWidth="1"/>
    <col min="15091" max="15091" width="5.85546875" style="53" bestFit="1" customWidth="1"/>
    <col min="15092" max="15092" width="16.42578125" style="53" customWidth="1"/>
    <col min="15093" max="15093" width="4.5703125" style="53" customWidth="1"/>
    <col min="15094" max="15094" width="14.140625" style="53" customWidth="1"/>
    <col min="15095" max="15095" width="27.140625" style="53" customWidth="1"/>
    <col min="15096" max="15096" width="16.28515625" style="53" customWidth="1"/>
    <col min="15097" max="15097" width="13.85546875" style="53" customWidth="1"/>
    <col min="15098" max="15340" width="9.140625" style="53"/>
    <col min="15341" max="15341" width="1.7109375" style="53" customWidth="1"/>
    <col min="15342" max="15343" width="4.7109375" style="53" customWidth="1"/>
    <col min="15344" max="15344" width="54.140625" style="53" customWidth="1"/>
    <col min="15345" max="15345" width="52" style="53" customWidth="1"/>
    <col min="15346" max="15346" width="5.28515625" style="53" customWidth="1"/>
    <col min="15347" max="15347" width="5.85546875" style="53" bestFit="1" customWidth="1"/>
    <col min="15348" max="15348" width="16.42578125" style="53" customWidth="1"/>
    <col min="15349" max="15349" width="4.5703125" style="53" customWidth="1"/>
    <col min="15350" max="15350" width="14.140625" style="53" customWidth="1"/>
    <col min="15351" max="15351" width="27.140625" style="53" customWidth="1"/>
    <col min="15352" max="15352" width="16.28515625" style="53" customWidth="1"/>
    <col min="15353" max="15353" width="13.85546875" style="53" customWidth="1"/>
    <col min="15354" max="15596" width="9.140625" style="53"/>
    <col min="15597" max="15597" width="1.7109375" style="53" customWidth="1"/>
    <col min="15598" max="15599" width="4.7109375" style="53" customWidth="1"/>
    <col min="15600" max="15600" width="54.140625" style="53" customWidth="1"/>
    <col min="15601" max="15601" width="52" style="53" customWidth="1"/>
    <col min="15602" max="15602" width="5.28515625" style="53" customWidth="1"/>
    <col min="15603" max="15603" width="5.85546875" style="53" bestFit="1" customWidth="1"/>
    <col min="15604" max="15604" width="16.42578125" style="53" customWidth="1"/>
    <col min="15605" max="15605" width="4.5703125" style="53" customWidth="1"/>
    <col min="15606" max="15606" width="14.140625" style="53" customWidth="1"/>
    <col min="15607" max="15607" width="27.140625" style="53" customWidth="1"/>
    <col min="15608" max="15608" width="16.28515625" style="53" customWidth="1"/>
    <col min="15609" max="15609" width="13.85546875" style="53" customWidth="1"/>
    <col min="15610" max="15852" width="9.140625" style="53"/>
    <col min="15853" max="15853" width="1.7109375" style="53" customWidth="1"/>
    <col min="15854" max="15855" width="4.7109375" style="53" customWidth="1"/>
    <col min="15856" max="15856" width="54.140625" style="53" customWidth="1"/>
    <col min="15857" max="15857" width="52" style="53" customWidth="1"/>
    <col min="15858" max="15858" width="5.28515625" style="53" customWidth="1"/>
    <col min="15859" max="15859" width="5.85546875" style="53" bestFit="1" customWidth="1"/>
    <col min="15860" max="15860" width="16.42578125" style="53" customWidth="1"/>
    <col min="15861" max="15861" width="4.5703125" style="53" customWidth="1"/>
    <col min="15862" max="15862" width="14.140625" style="53" customWidth="1"/>
    <col min="15863" max="15863" width="27.140625" style="53" customWidth="1"/>
    <col min="15864" max="15864" width="16.28515625" style="53" customWidth="1"/>
    <col min="15865" max="15865" width="13.85546875" style="53" customWidth="1"/>
    <col min="15866" max="16108" width="9.140625" style="53"/>
    <col min="16109" max="16109" width="1.7109375" style="53" customWidth="1"/>
    <col min="16110" max="16111" width="4.7109375" style="53" customWidth="1"/>
    <col min="16112" max="16112" width="54.140625" style="53" customWidth="1"/>
    <col min="16113" max="16113" width="52" style="53" customWidth="1"/>
    <col min="16114" max="16114" width="5.28515625" style="53" customWidth="1"/>
    <col min="16115" max="16115" width="5.85546875" style="53" bestFit="1" customWidth="1"/>
    <col min="16116" max="16116" width="16.42578125" style="53" customWidth="1"/>
    <col min="16117" max="16117" width="4.5703125" style="53" customWidth="1"/>
    <col min="16118" max="16118" width="14.140625" style="53" customWidth="1"/>
    <col min="16119" max="16119" width="27.140625" style="53" customWidth="1"/>
    <col min="16120" max="16120" width="16.28515625" style="53" customWidth="1"/>
    <col min="16121" max="16121" width="13.85546875" style="53" customWidth="1"/>
    <col min="16122" max="16384" width="9.140625" style="53"/>
  </cols>
  <sheetData>
    <row r="2" spans="2:21" s="5" customFormat="1" ht="15.75" hidden="1" x14ac:dyDescent="0.25">
      <c r="B2" s="1106"/>
      <c r="C2" s="1645" t="s">
        <v>431</v>
      </c>
      <c r="D2" s="1645"/>
      <c r="E2" s="1645"/>
      <c r="F2" s="1645"/>
      <c r="G2" s="1645"/>
      <c r="H2" s="1645"/>
      <c r="I2" s="1645"/>
      <c r="J2" s="1645"/>
      <c r="K2" s="1645"/>
      <c r="L2" s="1645"/>
      <c r="M2" s="1645"/>
      <c r="N2" s="1104"/>
      <c r="O2" s="1104"/>
      <c r="P2" s="451"/>
      <c r="Q2" s="451"/>
      <c r="R2" s="3"/>
    </row>
    <row r="3" spans="2:21" s="5" customFormat="1" ht="13.5" customHeight="1" x14ac:dyDescent="0.25">
      <c r="B3" s="1106"/>
      <c r="C3" s="1646" t="s">
        <v>0</v>
      </c>
      <c r="D3" s="1646"/>
      <c r="E3" s="1646"/>
      <c r="F3" s="1646"/>
      <c r="G3" s="1646"/>
      <c r="H3" s="1646"/>
      <c r="I3" s="1646"/>
      <c r="J3" s="1646"/>
      <c r="K3" s="1646"/>
      <c r="L3" s="1646"/>
      <c r="M3" s="1646"/>
      <c r="N3" s="1646"/>
      <c r="O3" s="1646"/>
      <c r="P3" s="1646"/>
      <c r="Q3" s="1105"/>
      <c r="R3" s="481"/>
    </row>
    <row r="4" spans="2:21" s="4" customFormat="1" ht="14.25" customHeight="1" x14ac:dyDescent="0.25">
      <c r="B4" s="1106"/>
      <c r="C4" s="1646" t="s">
        <v>1</v>
      </c>
      <c r="D4" s="1646"/>
      <c r="E4" s="1646"/>
      <c r="F4" s="1646"/>
      <c r="G4" s="1646"/>
      <c r="H4" s="1646"/>
      <c r="I4" s="1646"/>
      <c r="J4" s="1646"/>
      <c r="K4" s="1646"/>
      <c r="L4" s="1646"/>
      <c r="M4" s="1646"/>
      <c r="N4" s="1646"/>
      <c r="O4" s="1646"/>
      <c r="P4" s="1646"/>
      <c r="Q4" s="1105"/>
      <c r="R4" s="481"/>
    </row>
    <row r="5" spans="2:21" s="4" customFormat="1" ht="15.75" x14ac:dyDescent="0.25">
      <c r="B5" s="1106"/>
      <c r="C5" s="452"/>
      <c r="D5" s="453"/>
      <c r="E5" s="453"/>
      <c r="F5" s="453"/>
      <c r="G5" s="454"/>
      <c r="H5" s="455"/>
      <c r="I5" s="456"/>
      <c r="J5" s="457"/>
      <c r="K5" s="457"/>
      <c r="L5" s="457"/>
      <c r="M5" s="457"/>
      <c r="N5" s="457"/>
      <c r="O5" s="457"/>
      <c r="P5" s="458"/>
      <c r="Q5" s="456"/>
      <c r="R5" s="1107"/>
    </row>
    <row r="6" spans="2:21" s="4" customFormat="1" ht="18" customHeight="1" x14ac:dyDescent="0.25">
      <c r="B6" s="1106"/>
      <c r="C6" s="1647" t="s">
        <v>2</v>
      </c>
      <c r="D6" s="1647"/>
      <c r="E6" s="1505" t="s">
        <v>3</v>
      </c>
      <c r="F6" s="1505"/>
      <c r="G6" s="1505"/>
      <c r="H6" s="459"/>
      <c r="I6" s="456"/>
      <c r="J6" s="457"/>
      <c r="K6" s="457"/>
      <c r="L6" s="457"/>
      <c r="M6" s="457"/>
      <c r="N6" s="457"/>
      <c r="O6" s="457"/>
      <c r="P6" s="458"/>
      <c r="Q6" s="456"/>
      <c r="R6" s="1107"/>
      <c r="S6" s="1085">
        <f>S11-S8</f>
        <v>-15848487571</v>
      </c>
    </row>
    <row r="7" spans="2:21" s="4" customFormat="1" ht="8.25" customHeight="1" thickBot="1" x14ac:dyDescent="0.3">
      <c r="B7" s="1106"/>
      <c r="C7" s="6"/>
      <c r="D7" s="8"/>
      <c r="E7" s="8"/>
      <c r="F7" s="8"/>
      <c r="G7" s="9"/>
      <c r="H7" s="10"/>
      <c r="I7" s="11"/>
      <c r="J7" s="12"/>
      <c r="K7" s="12"/>
      <c r="L7" s="12"/>
      <c r="M7" s="12"/>
      <c r="N7" s="12"/>
      <c r="O7" s="12"/>
      <c r="P7" s="7"/>
      <c r="Q7" s="11"/>
      <c r="R7" s="1107"/>
    </row>
    <row r="8" spans="2:21" s="15" customFormat="1" ht="32.25" customHeight="1" thickTop="1" x14ac:dyDescent="0.25">
      <c r="B8" s="13"/>
      <c r="C8" s="1648" t="s">
        <v>433</v>
      </c>
      <c r="D8" s="1649"/>
      <c r="E8" s="1650"/>
      <c r="F8" s="1654" t="s">
        <v>418</v>
      </c>
      <c r="G8" s="1650"/>
      <c r="H8" s="1656" t="s">
        <v>417</v>
      </c>
      <c r="I8" s="1658" t="s">
        <v>419</v>
      </c>
      <c r="J8" s="1662" t="s">
        <v>502</v>
      </c>
      <c r="K8" s="1662" t="s">
        <v>534</v>
      </c>
      <c r="L8" s="1662" t="s">
        <v>488</v>
      </c>
      <c r="M8" s="1666" t="s">
        <v>533</v>
      </c>
      <c r="N8" s="1069" t="s">
        <v>509</v>
      </c>
      <c r="O8" s="987"/>
      <c r="P8" s="14"/>
      <c r="Q8" s="1643" t="s">
        <v>469</v>
      </c>
      <c r="R8" s="441" t="s">
        <v>426</v>
      </c>
      <c r="S8" s="16">
        <v>15848487571</v>
      </c>
      <c r="T8" s="1086">
        <f>S10+S11</f>
        <v>307965438271</v>
      </c>
    </row>
    <row r="9" spans="2:21" s="15" customFormat="1" x14ac:dyDescent="0.25">
      <c r="B9" s="13"/>
      <c r="C9" s="1651"/>
      <c r="D9" s="1652"/>
      <c r="E9" s="1653"/>
      <c r="F9" s="1655"/>
      <c r="G9" s="1653"/>
      <c r="H9" s="1657"/>
      <c r="I9" s="1659"/>
      <c r="J9" s="1663"/>
      <c r="K9" s="1663"/>
      <c r="L9" s="1663"/>
      <c r="M9" s="1667"/>
      <c r="N9" s="1070"/>
      <c r="O9" s="987"/>
      <c r="P9" s="14"/>
      <c r="Q9" s="1644"/>
      <c r="R9" s="14"/>
      <c r="U9" s="17"/>
    </row>
    <row r="10" spans="2:21" s="15" customFormat="1" ht="19.5" customHeight="1" x14ac:dyDescent="0.25">
      <c r="B10" s="13"/>
      <c r="C10" s="1632">
        <v>1</v>
      </c>
      <c r="D10" s="1633"/>
      <c r="E10" s="1634"/>
      <c r="F10" s="1635">
        <v>2</v>
      </c>
      <c r="G10" s="1636"/>
      <c r="H10" s="18">
        <v>3</v>
      </c>
      <c r="I10" s="18">
        <v>4</v>
      </c>
      <c r="J10" s="607">
        <v>5</v>
      </c>
      <c r="K10" s="607">
        <v>5</v>
      </c>
      <c r="L10" s="858">
        <v>5</v>
      </c>
      <c r="M10" s="859">
        <v>5</v>
      </c>
      <c r="N10" s="988"/>
      <c r="O10" s="988"/>
      <c r="P10" s="20"/>
      <c r="Q10" s="507"/>
      <c r="R10" s="20"/>
      <c r="S10" s="21">
        <v>307965438271</v>
      </c>
      <c r="T10" s="1068">
        <f>S10-K11</f>
        <v>-37348487571</v>
      </c>
      <c r="U10" s="17"/>
    </row>
    <row r="11" spans="2:21" s="29" customFormat="1" ht="29.25" customHeight="1" x14ac:dyDescent="0.25">
      <c r="B11" s="13"/>
      <c r="C11" s="22"/>
      <c r="D11" s="1635" t="s">
        <v>4</v>
      </c>
      <c r="E11" s="1637"/>
      <c r="F11" s="1637"/>
      <c r="G11" s="1636"/>
      <c r="H11" s="23"/>
      <c r="I11" s="24"/>
      <c r="J11" s="608">
        <f>J12+J52</f>
        <v>307965438271</v>
      </c>
      <c r="K11" s="608">
        <f>K12+K52</f>
        <v>345313925842</v>
      </c>
      <c r="L11" s="608">
        <f>L12+L52</f>
        <v>323813925842</v>
      </c>
      <c r="M11" s="25">
        <f>M12+M52</f>
        <v>345313925842</v>
      </c>
      <c r="N11" s="989"/>
      <c r="O11" s="989"/>
      <c r="P11" s="26"/>
      <c r="Q11" s="508"/>
      <c r="R11" s="485">
        <f>SUM(R12:R262)</f>
        <v>19915000000</v>
      </c>
      <c r="S11" s="27">
        <f>J11-S10</f>
        <v>0</v>
      </c>
      <c r="T11" s="28">
        <f>K11-T8</f>
        <v>37348487571</v>
      </c>
    </row>
    <row r="12" spans="2:21" s="15" customFormat="1" ht="30" customHeight="1" x14ac:dyDescent="0.25">
      <c r="B12" s="13"/>
      <c r="C12" s="30"/>
      <c r="D12" s="1638"/>
      <c r="E12" s="1638"/>
      <c r="F12" s="1638"/>
      <c r="G12" s="1638"/>
      <c r="H12" s="1638"/>
      <c r="I12" s="1639"/>
      <c r="J12" s="609">
        <f>J13+J24+J40+J43+J46</f>
        <v>11438515300</v>
      </c>
      <c r="K12" s="609">
        <f>K13+K24+K40+K43+K46</f>
        <v>11438515300</v>
      </c>
      <c r="L12" s="609">
        <f>L13+L24+L40+L43+L46</f>
        <v>11438515300</v>
      </c>
      <c r="M12" s="31">
        <f>M13+M24+M40+M43+M46</f>
        <v>11388515300</v>
      </c>
      <c r="N12" s="990"/>
      <c r="O12" s="990"/>
      <c r="P12" s="32"/>
      <c r="Q12" s="509"/>
      <c r="R12" s="486"/>
      <c r="S12" s="33"/>
      <c r="T12" s="17"/>
    </row>
    <row r="13" spans="2:21" s="15" customFormat="1" ht="21" customHeight="1" x14ac:dyDescent="0.25">
      <c r="B13" s="13"/>
      <c r="C13" s="34" t="s">
        <v>432</v>
      </c>
      <c r="D13" s="1640" t="s">
        <v>6</v>
      </c>
      <c r="E13" s="1641"/>
      <c r="F13" s="1641"/>
      <c r="G13" s="1642"/>
      <c r="H13" s="35" t="s">
        <v>7</v>
      </c>
      <c r="I13" s="36"/>
      <c r="J13" s="610">
        <f>J20+J15+J16+J17+J18+J21+J22+J14+J19</f>
        <v>5166573300</v>
      </c>
      <c r="K13" s="610">
        <f>K20+K15+K16+K17+K18+K21+K22+K14+K19</f>
        <v>5166573300</v>
      </c>
      <c r="L13" s="610">
        <f>L20+L15+L16+L17+L18+L21+L22+L14+L19</f>
        <v>5166573300</v>
      </c>
      <c r="M13" s="37">
        <f>M20+M15+M16+M17+M18+M21+M22+M14+M19</f>
        <v>5166573300</v>
      </c>
      <c r="N13" s="991"/>
      <c r="O13" s="991"/>
      <c r="P13" s="38"/>
      <c r="Q13" s="510"/>
      <c r="R13" s="487"/>
    </row>
    <row r="14" spans="2:21" s="62" customFormat="1" ht="27.75" customHeight="1" x14ac:dyDescent="0.25">
      <c r="B14" s="59"/>
      <c r="C14" s="39"/>
      <c r="D14" s="140" t="s">
        <v>5</v>
      </c>
      <c r="E14" s="1623" t="s">
        <v>9</v>
      </c>
      <c r="F14" s="1624"/>
      <c r="G14" s="1625"/>
      <c r="H14" s="745" t="s">
        <v>497</v>
      </c>
      <c r="I14" s="746">
        <v>1</v>
      </c>
      <c r="J14" s="611">
        <v>755192500</v>
      </c>
      <c r="K14" s="611">
        <v>755192500</v>
      </c>
      <c r="L14" s="611">
        <f>755192500</f>
        <v>755192500</v>
      </c>
      <c r="M14" s="43">
        <f>755192500</f>
        <v>755192500</v>
      </c>
      <c r="N14" s="44"/>
      <c r="O14" s="44"/>
      <c r="P14" s="44"/>
      <c r="Q14" s="747"/>
      <c r="R14" s="488"/>
    </row>
    <row r="15" spans="2:21" s="62" customFormat="1" ht="26.25" customHeight="1" x14ac:dyDescent="0.25">
      <c r="B15" s="59"/>
      <c r="C15" s="39"/>
      <c r="D15" s="79" t="s">
        <v>10</v>
      </c>
      <c r="E15" s="1623" t="s">
        <v>11</v>
      </c>
      <c r="F15" s="1624"/>
      <c r="G15" s="1625"/>
      <c r="H15" s="837" t="s">
        <v>12</v>
      </c>
      <c r="I15" s="746">
        <v>1</v>
      </c>
      <c r="J15" s="612">
        <v>1921800000</v>
      </c>
      <c r="K15" s="612">
        <v>1921800000</v>
      </c>
      <c r="L15" s="612">
        <v>1921800000</v>
      </c>
      <c r="M15" s="47">
        <v>1921800000</v>
      </c>
      <c r="N15" s="44"/>
      <c r="O15" s="44"/>
      <c r="P15" s="44"/>
      <c r="Q15" s="747"/>
      <c r="R15" s="488"/>
    </row>
    <row r="16" spans="2:21" s="62" customFormat="1" ht="26.25" customHeight="1" x14ac:dyDescent="0.25">
      <c r="B16" s="59"/>
      <c r="C16" s="39"/>
      <c r="D16" s="140" t="s">
        <v>13</v>
      </c>
      <c r="E16" s="1623" t="s">
        <v>14</v>
      </c>
      <c r="F16" s="1624"/>
      <c r="G16" s="1625"/>
      <c r="H16" s="837" t="s">
        <v>15</v>
      </c>
      <c r="I16" s="746">
        <v>1</v>
      </c>
      <c r="J16" s="612">
        <f>1968500000-21419200</f>
        <v>1947080800</v>
      </c>
      <c r="K16" s="612">
        <f>1968500000-21419200</f>
        <v>1947080800</v>
      </c>
      <c r="L16" s="612">
        <f>1968500000-21419200</f>
        <v>1947080800</v>
      </c>
      <c r="M16" s="47">
        <f>1968500000-21419200</f>
        <v>1947080800</v>
      </c>
      <c r="N16" s="44"/>
      <c r="O16" s="44"/>
      <c r="P16" s="44"/>
      <c r="Q16" s="747"/>
      <c r="R16" s="488"/>
    </row>
    <row r="17" spans="2:19" s="62" customFormat="1" ht="20.25" customHeight="1" x14ac:dyDescent="0.25">
      <c r="B17" s="59"/>
      <c r="C17" s="39"/>
      <c r="D17" s="140" t="s">
        <v>16</v>
      </c>
      <c r="E17" s="1623" t="s">
        <v>17</v>
      </c>
      <c r="F17" s="1624"/>
      <c r="G17" s="1625"/>
      <c r="H17" s="837" t="s">
        <v>18</v>
      </c>
      <c r="I17" s="746">
        <v>1</v>
      </c>
      <c r="J17" s="612">
        <v>200000000</v>
      </c>
      <c r="K17" s="612">
        <v>200000000</v>
      </c>
      <c r="L17" s="612">
        <v>200000000</v>
      </c>
      <c r="M17" s="47">
        <v>200000000</v>
      </c>
      <c r="N17" s="44"/>
      <c r="O17" s="44"/>
      <c r="P17" s="44"/>
      <c r="Q17" s="747"/>
      <c r="R17" s="488"/>
    </row>
    <row r="18" spans="2:19" s="62" customFormat="1" ht="20.25" customHeight="1" x14ac:dyDescent="0.25">
      <c r="B18" s="59"/>
      <c r="C18" s="39"/>
      <c r="D18" s="140" t="s">
        <v>19</v>
      </c>
      <c r="E18" s="1623" t="s">
        <v>20</v>
      </c>
      <c r="F18" s="1624"/>
      <c r="G18" s="1625"/>
      <c r="H18" s="837" t="s">
        <v>21</v>
      </c>
      <c r="I18" s="746">
        <v>1</v>
      </c>
      <c r="J18" s="612">
        <f>238307500-65807500</f>
        <v>172500000</v>
      </c>
      <c r="K18" s="612">
        <f>238307500-65807500</f>
        <v>172500000</v>
      </c>
      <c r="L18" s="612">
        <f>238307500-65807500</f>
        <v>172500000</v>
      </c>
      <c r="M18" s="47">
        <f>238307500-65807500</f>
        <v>172500000</v>
      </c>
      <c r="N18" s="44"/>
      <c r="O18" s="44"/>
      <c r="P18" s="44"/>
      <c r="Q18" s="747"/>
      <c r="R18" s="488"/>
    </row>
    <row r="19" spans="2:19" s="62" customFormat="1" ht="28.5" customHeight="1" x14ac:dyDescent="0.25">
      <c r="B19" s="59"/>
      <c r="C19" s="39"/>
      <c r="D19" s="140" t="s">
        <v>27</v>
      </c>
      <c r="E19" s="1629" t="s">
        <v>23</v>
      </c>
      <c r="F19" s="1630"/>
      <c r="G19" s="1631"/>
      <c r="H19" s="843" t="s">
        <v>24</v>
      </c>
      <c r="I19" s="746">
        <v>1</v>
      </c>
      <c r="J19" s="612">
        <v>100000000</v>
      </c>
      <c r="K19" s="612">
        <v>100000000</v>
      </c>
      <c r="L19" s="612">
        <v>100000000</v>
      </c>
      <c r="M19" s="47">
        <v>100000000</v>
      </c>
      <c r="N19" s="44"/>
      <c r="O19" s="44"/>
      <c r="P19" s="44"/>
      <c r="Q19" s="747"/>
      <c r="R19" s="488"/>
    </row>
    <row r="20" spans="2:19" s="62" customFormat="1" ht="44.25" customHeight="1" x14ac:dyDescent="0.25">
      <c r="B20" s="59"/>
      <c r="C20" s="49"/>
      <c r="D20" s="79" t="s">
        <v>30</v>
      </c>
      <c r="E20" s="1623" t="s">
        <v>25</v>
      </c>
      <c r="F20" s="1624"/>
      <c r="G20" s="1625"/>
      <c r="H20" s="80" t="s">
        <v>26</v>
      </c>
      <c r="I20" s="81">
        <v>1</v>
      </c>
      <c r="J20" s="613">
        <v>10000000</v>
      </c>
      <c r="K20" s="613">
        <v>10000000</v>
      </c>
      <c r="L20" s="613">
        <v>10000000</v>
      </c>
      <c r="M20" s="52">
        <v>10000000</v>
      </c>
      <c r="N20" s="44"/>
      <c r="O20" s="44"/>
      <c r="P20" s="44"/>
      <c r="Q20" s="844"/>
      <c r="R20" s="488"/>
    </row>
    <row r="21" spans="2:19" s="62" customFormat="1" ht="27" customHeight="1" x14ac:dyDescent="0.25">
      <c r="B21" s="59"/>
      <c r="C21" s="39"/>
      <c r="D21" s="140" t="s">
        <v>8</v>
      </c>
      <c r="E21" s="1623" t="s">
        <v>28</v>
      </c>
      <c r="F21" s="1624"/>
      <c r="G21" s="1625"/>
      <c r="H21" s="837" t="s">
        <v>29</v>
      </c>
      <c r="I21" s="746">
        <v>1</v>
      </c>
      <c r="J21" s="612">
        <f>40000000-10000000</f>
        <v>30000000</v>
      </c>
      <c r="K21" s="612">
        <f>40000000-10000000</f>
        <v>30000000</v>
      </c>
      <c r="L21" s="612">
        <f>40000000-10000000</f>
        <v>30000000</v>
      </c>
      <c r="M21" s="47">
        <f>40000000-10000000</f>
        <v>30000000</v>
      </c>
      <c r="N21" s="44"/>
      <c r="O21" s="44"/>
      <c r="P21" s="44"/>
      <c r="Q21" s="747"/>
      <c r="R21" s="488"/>
    </row>
    <row r="22" spans="2:19" s="62" customFormat="1" ht="27" customHeight="1" x14ac:dyDescent="0.25">
      <c r="B22" s="59"/>
      <c r="C22" s="39"/>
      <c r="D22" s="140" t="s">
        <v>22</v>
      </c>
      <c r="E22" s="1623" t="s">
        <v>31</v>
      </c>
      <c r="F22" s="1624"/>
      <c r="G22" s="1625"/>
      <c r="H22" s="837" t="s">
        <v>32</v>
      </c>
      <c r="I22" s="746">
        <v>1</v>
      </c>
      <c r="J22" s="612">
        <f>30000000</f>
        <v>30000000</v>
      </c>
      <c r="K22" s="612">
        <f>30000000</f>
        <v>30000000</v>
      </c>
      <c r="L22" s="612">
        <f>30000000</f>
        <v>30000000</v>
      </c>
      <c r="M22" s="47">
        <f>30000000</f>
        <v>30000000</v>
      </c>
      <c r="N22" s="44"/>
      <c r="O22" s="44"/>
      <c r="P22" s="44"/>
      <c r="Q22" s="747"/>
      <c r="R22" s="488"/>
    </row>
    <row r="23" spans="2:19" s="62" customFormat="1" ht="3.75" customHeight="1" x14ac:dyDescent="0.25">
      <c r="B23" s="59"/>
      <c r="C23" s="766"/>
      <c r="D23" s="759"/>
      <c r="E23" s="845"/>
      <c r="F23" s="1611"/>
      <c r="G23" s="1612"/>
      <c r="H23" s="846"/>
      <c r="I23" s="847"/>
      <c r="J23" s="611"/>
      <c r="K23" s="611"/>
      <c r="L23" s="611"/>
      <c r="M23" s="43"/>
      <c r="N23" s="44"/>
      <c r="O23" s="44"/>
      <c r="P23" s="44"/>
      <c r="Q23" s="848"/>
      <c r="R23" s="488"/>
    </row>
    <row r="24" spans="2:19" s="62" customFormat="1" ht="26.25" customHeight="1" x14ac:dyDescent="0.25">
      <c r="B24" s="59"/>
      <c r="C24" s="34" t="s">
        <v>434</v>
      </c>
      <c r="D24" s="1640" t="s">
        <v>35</v>
      </c>
      <c r="E24" s="1641"/>
      <c r="F24" s="1641"/>
      <c r="G24" s="1642"/>
      <c r="H24" s="35" t="s">
        <v>36</v>
      </c>
      <c r="I24" s="36"/>
      <c r="J24" s="610">
        <f>J25+J26+J27+J28+J29+J33+J36+J37+J38</f>
        <v>4220250000</v>
      </c>
      <c r="K24" s="610">
        <f>K25+K26+K27+K28+K29+K33+K36+K37+K38</f>
        <v>4220250000</v>
      </c>
      <c r="L24" s="610">
        <f>L25+L26+L27+L28+L29+L33+L36+L37+L38</f>
        <v>4220250000</v>
      </c>
      <c r="M24" s="37">
        <f>M25+M26+M27+M28+M29+M33+M36+M37+M38</f>
        <v>4220250000</v>
      </c>
      <c r="N24" s="38"/>
      <c r="O24" s="38"/>
      <c r="P24" s="38"/>
      <c r="Q24" s="724"/>
      <c r="R24" s="487"/>
    </row>
    <row r="25" spans="2:19" s="62" customFormat="1" ht="21" customHeight="1" x14ac:dyDescent="0.25">
      <c r="B25" s="59"/>
      <c r="C25" s="39"/>
      <c r="D25" s="140" t="s">
        <v>5</v>
      </c>
      <c r="E25" s="1529" t="s">
        <v>37</v>
      </c>
      <c r="F25" s="1622"/>
      <c r="G25" s="1530"/>
      <c r="H25" s="1103" t="s">
        <v>38</v>
      </c>
      <c r="I25" s="746">
        <v>1</v>
      </c>
      <c r="J25" s="611">
        <v>350000000</v>
      </c>
      <c r="K25" s="611">
        <v>350000000</v>
      </c>
      <c r="L25" s="611">
        <v>350000000</v>
      </c>
      <c r="M25" s="43">
        <v>350000000</v>
      </c>
      <c r="N25" s="44"/>
      <c r="O25" s="44"/>
      <c r="P25" s="44"/>
      <c r="Q25" s="747"/>
      <c r="R25" s="488"/>
    </row>
    <row r="26" spans="2:19" s="62" customFormat="1" ht="21" customHeight="1" x14ac:dyDescent="0.25">
      <c r="B26" s="59"/>
      <c r="C26" s="39"/>
      <c r="D26" s="140" t="s">
        <v>10</v>
      </c>
      <c r="E26" s="1529" t="s">
        <v>485</v>
      </c>
      <c r="F26" s="1622"/>
      <c r="G26" s="1530"/>
      <c r="H26" s="1103" t="s">
        <v>39</v>
      </c>
      <c r="I26" s="746">
        <v>1</v>
      </c>
      <c r="J26" s="611">
        <v>452890000</v>
      </c>
      <c r="K26" s="611">
        <v>452890000</v>
      </c>
      <c r="L26" s="611">
        <f>452890000</f>
        <v>452890000</v>
      </c>
      <c r="M26" s="43">
        <f>452890000</f>
        <v>452890000</v>
      </c>
      <c r="N26" s="44"/>
      <c r="O26" s="44"/>
      <c r="P26" s="44"/>
      <c r="Q26" s="747"/>
      <c r="R26" s="488"/>
    </row>
    <row r="27" spans="2:19" s="62" customFormat="1" ht="21" customHeight="1" x14ac:dyDescent="0.25">
      <c r="B27" s="59"/>
      <c r="C27" s="39"/>
      <c r="D27" s="140" t="s">
        <v>13</v>
      </c>
      <c r="E27" s="1529" t="s">
        <v>40</v>
      </c>
      <c r="F27" s="1622"/>
      <c r="G27" s="1530"/>
      <c r="H27" s="1103" t="s">
        <v>41</v>
      </c>
      <c r="I27" s="746">
        <v>1</v>
      </c>
      <c r="J27" s="612">
        <f>600000000</f>
        <v>600000000</v>
      </c>
      <c r="K27" s="612">
        <f>600000000</f>
        <v>600000000</v>
      </c>
      <c r="L27" s="612">
        <f>600000000</f>
        <v>600000000</v>
      </c>
      <c r="M27" s="47">
        <f>600000000</f>
        <v>600000000</v>
      </c>
      <c r="N27" s="44"/>
      <c r="O27" s="44"/>
      <c r="P27" s="44"/>
      <c r="Q27" s="747"/>
      <c r="R27" s="488"/>
    </row>
    <row r="28" spans="2:19" s="62" customFormat="1" ht="31.5" customHeight="1" x14ac:dyDescent="0.25">
      <c r="B28" s="59"/>
      <c r="C28" s="766"/>
      <c r="D28" s="759" t="s">
        <v>16</v>
      </c>
      <c r="E28" s="1529" t="s">
        <v>42</v>
      </c>
      <c r="F28" s="1622"/>
      <c r="G28" s="1530"/>
      <c r="H28" s="1103" t="s">
        <v>43</v>
      </c>
      <c r="I28" s="746">
        <v>1</v>
      </c>
      <c r="J28" s="611">
        <v>243360000</v>
      </c>
      <c r="K28" s="611">
        <v>243360000</v>
      </c>
      <c r="L28" s="611">
        <v>243360000</v>
      </c>
      <c r="M28" s="43">
        <v>243360000</v>
      </c>
      <c r="N28" s="44"/>
      <c r="O28" s="44"/>
      <c r="P28" s="44"/>
      <c r="Q28" s="747"/>
      <c r="R28" s="488"/>
    </row>
    <row r="29" spans="2:19" s="62" customFormat="1" ht="31.5" customHeight="1" x14ac:dyDescent="0.25">
      <c r="B29" s="59"/>
      <c r="C29" s="39"/>
      <c r="D29" s="140" t="s">
        <v>19</v>
      </c>
      <c r="E29" s="1618" t="s">
        <v>44</v>
      </c>
      <c r="F29" s="1619"/>
      <c r="G29" s="1620"/>
      <c r="H29" s="748" t="s">
        <v>45</v>
      </c>
      <c r="I29" s="746">
        <v>1</v>
      </c>
      <c r="J29" s="660">
        <f>SUM(J30:J32)</f>
        <v>210000000</v>
      </c>
      <c r="K29" s="660">
        <f>SUM(K30:K32)</f>
        <v>210000000</v>
      </c>
      <c r="L29" s="660">
        <f>SUM(L30:L32)</f>
        <v>210000000</v>
      </c>
      <c r="M29" s="60">
        <f>SUM(M30:M32)</f>
        <v>210000000</v>
      </c>
      <c r="N29" s="61"/>
      <c r="O29" s="61"/>
      <c r="P29" s="61"/>
      <c r="Q29" s="747"/>
      <c r="R29" s="489"/>
      <c r="S29" s="63"/>
    </row>
    <row r="30" spans="2:19" s="62" customFormat="1" ht="26.25" customHeight="1" x14ac:dyDescent="0.25">
      <c r="B30" s="59"/>
      <c r="C30" s="39"/>
      <c r="D30" s="140"/>
      <c r="E30" s="838" t="s">
        <v>46</v>
      </c>
      <c r="F30" s="1616" t="s">
        <v>47</v>
      </c>
      <c r="G30" s="1617"/>
      <c r="H30" s="1102" t="s">
        <v>48</v>
      </c>
      <c r="I30" s="137"/>
      <c r="J30" s="616">
        <v>200000000</v>
      </c>
      <c r="K30" s="616">
        <v>200000000</v>
      </c>
      <c r="L30" s="616">
        <v>200000000</v>
      </c>
      <c r="M30" s="66">
        <v>200000000</v>
      </c>
      <c r="N30" s="67"/>
      <c r="O30" s="67"/>
      <c r="P30" s="67"/>
      <c r="Q30" s="519"/>
      <c r="R30" s="490"/>
      <c r="S30" s="63"/>
    </row>
    <row r="31" spans="2:19" s="62" customFormat="1" ht="25.5" customHeight="1" x14ac:dyDescent="0.25">
      <c r="B31" s="59"/>
      <c r="C31" s="39"/>
      <c r="D31" s="140"/>
      <c r="E31" s="838" t="s">
        <v>46</v>
      </c>
      <c r="F31" s="1616" t="s">
        <v>49</v>
      </c>
      <c r="G31" s="1617"/>
      <c r="H31" s="1102" t="s">
        <v>50</v>
      </c>
      <c r="I31" s="137"/>
      <c r="J31" s="616">
        <v>10000000</v>
      </c>
      <c r="K31" s="616">
        <v>10000000</v>
      </c>
      <c r="L31" s="616">
        <v>10000000</v>
      </c>
      <c r="M31" s="66">
        <v>10000000</v>
      </c>
      <c r="N31" s="67"/>
      <c r="O31" s="67"/>
      <c r="P31" s="67"/>
      <c r="Q31" s="519"/>
      <c r="R31" s="490"/>
      <c r="S31" s="63"/>
    </row>
    <row r="32" spans="2:19" s="62" customFormat="1" ht="14.25" hidden="1" customHeight="1" x14ac:dyDescent="0.25">
      <c r="B32" s="59"/>
      <c r="C32" s="39"/>
      <c r="D32" s="140"/>
      <c r="E32" s="838" t="s">
        <v>46</v>
      </c>
      <c r="F32" s="1616" t="s">
        <v>482</v>
      </c>
      <c r="G32" s="1617"/>
      <c r="H32" s="1102" t="s">
        <v>483</v>
      </c>
      <c r="I32" s="137"/>
      <c r="J32" s="616"/>
      <c r="K32" s="616"/>
      <c r="L32" s="616"/>
      <c r="M32" s="66"/>
      <c r="N32" s="67"/>
      <c r="O32" s="67"/>
      <c r="P32" s="67"/>
      <c r="Q32" s="519"/>
      <c r="R32" s="490"/>
      <c r="S32" s="63"/>
    </row>
    <row r="33" spans="2:19" s="62" customFormat="1" ht="26.25" customHeight="1" x14ac:dyDescent="0.25">
      <c r="B33" s="59"/>
      <c r="C33" s="39"/>
      <c r="D33" s="140" t="s">
        <v>27</v>
      </c>
      <c r="E33" s="1618" t="s">
        <v>51</v>
      </c>
      <c r="F33" s="1619"/>
      <c r="G33" s="1620"/>
      <c r="H33" s="840" t="s">
        <v>53</v>
      </c>
      <c r="I33" s="746">
        <v>1</v>
      </c>
      <c r="J33" s="617">
        <f>SUM(J34:J35)</f>
        <v>950000000</v>
      </c>
      <c r="K33" s="617">
        <f>SUM(K34:K35)</f>
        <v>950000000</v>
      </c>
      <c r="L33" s="617">
        <f>SUM(L34:L35)</f>
        <v>950000000</v>
      </c>
      <c r="M33" s="71">
        <f>SUM(M34:M35)</f>
        <v>950000000</v>
      </c>
      <c r="N33" s="61"/>
      <c r="O33" s="61"/>
      <c r="P33" s="61"/>
      <c r="Q33" s="747"/>
      <c r="R33" s="489"/>
      <c r="S33" s="63"/>
    </row>
    <row r="34" spans="2:19" s="62" customFormat="1" ht="27.75" customHeight="1" x14ac:dyDescent="0.25">
      <c r="B34" s="59"/>
      <c r="C34" s="39"/>
      <c r="D34" s="140"/>
      <c r="E34" s="838" t="s">
        <v>46</v>
      </c>
      <c r="F34" s="1616" t="s">
        <v>52</v>
      </c>
      <c r="G34" s="1617"/>
      <c r="H34" s="1102" t="s">
        <v>53</v>
      </c>
      <c r="I34" s="841"/>
      <c r="J34" s="618">
        <v>915000000</v>
      </c>
      <c r="K34" s="618">
        <v>915000000</v>
      </c>
      <c r="L34" s="618">
        <v>915000000</v>
      </c>
      <c r="M34" s="73">
        <v>915000000</v>
      </c>
      <c r="N34" s="67"/>
      <c r="O34" s="67"/>
      <c r="P34" s="67"/>
      <c r="Q34" s="842"/>
      <c r="R34" s="490"/>
      <c r="S34" s="63"/>
    </row>
    <row r="35" spans="2:19" s="62" customFormat="1" ht="27" customHeight="1" x14ac:dyDescent="0.25">
      <c r="B35" s="59"/>
      <c r="C35" s="39"/>
      <c r="D35" s="140"/>
      <c r="E35" s="838" t="s">
        <v>46</v>
      </c>
      <c r="F35" s="1616" t="s">
        <v>54</v>
      </c>
      <c r="G35" s="1617"/>
      <c r="H35" s="1102" t="s">
        <v>55</v>
      </c>
      <c r="I35" s="137"/>
      <c r="J35" s="618">
        <v>35000000</v>
      </c>
      <c r="K35" s="618">
        <v>35000000</v>
      </c>
      <c r="L35" s="618">
        <v>35000000</v>
      </c>
      <c r="M35" s="73">
        <v>35000000</v>
      </c>
      <c r="N35" s="67"/>
      <c r="O35" s="67"/>
      <c r="P35" s="67"/>
      <c r="Q35" s="519"/>
      <c r="R35" s="490"/>
      <c r="S35" s="63"/>
    </row>
    <row r="36" spans="2:19" s="62" customFormat="1" ht="26.25" customHeight="1" x14ac:dyDescent="0.25">
      <c r="B36" s="59"/>
      <c r="C36" s="39"/>
      <c r="D36" s="140" t="s">
        <v>30</v>
      </c>
      <c r="E36" s="1621" t="s">
        <v>56</v>
      </c>
      <c r="F36" s="1621"/>
      <c r="G36" s="1621"/>
      <c r="H36" s="74" t="s">
        <v>57</v>
      </c>
      <c r="I36" s="746">
        <v>1</v>
      </c>
      <c r="J36" s="612">
        <v>150000000</v>
      </c>
      <c r="K36" s="612">
        <v>150000000</v>
      </c>
      <c r="L36" s="612">
        <v>150000000</v>
      </c>
      <c r="M36" s="47">
        <v>150000000</v>
      </c>
      <c r="N36" s="44"/>
      <c r="O36" s="44"/>
      <c r="P36" s="44"/>
      <c r="Q36" s="747"/>
      <c r="R36" s="488"/>
    </row>
    <row r="37" spans="2:19" s="62" customFormat="1" ht="21" customHeight="1" x14ac:dyDescent="0.25">
      <c r="B37" s="59"/>
      <c r="C37" s="39"/>
      <c r="D37" s="140" t="s">
        <v>8</v>
      </c>
      <c r="E37" s="1621" t="s">
        <v>58</v>
      </c>
      <c r="F37" s="1621"/>
      <c r="G37" s="1621"/>
      <c r="H37" s="1103" t="s">
        <v>34</v>
      </c>
      <c r="I37" s="746">
        <v>1</v>
      </c>
      <c r="J37" s="612">
        <v>164000000</v>
      </c>
      <c r="K37" s="612">
        <v>164000000</v>
      </c>
      <c r="L37" s="612">
        <v>164000000</v>
      </c>
      <c r="M37" s="47">
        <v>164000000</v>
      </c>
      <c r="N37" s="44"/>
      <c r="O37" s="44"/>
      <c r="P37" s="44"/>
      <c r="Q37" s="747"/>
      <c r="R37" s="488"/>
    </row>
    <row r="38" spans="2:19" s="229" customFormat="1" ht="26.25" customHeight="1" x14ac:dyDescent="0.25">
      <c r="B38" s="59"/>
      <c r="C38" s="39"/>
      <c r="D38" s="140" t="s">
        <v>22</v>
      </c>
      <c r="E38" s="1608" t="s">
        <v>33</v>
      </c>
      <c r="F38" s="1609"/>
      <c r="G38" s="1610"/>
      <c r="H38" s="811" t="s">
        <v>498</v>
      </c>
      <c r="I38" s="81">
        <v>1</v>
      </c>
      <c r="J38" s="613">
        <f>200000000+900000000</f>
        <v>1100000000</v>
      </c>
      <c r="K38" s="613">
        <f>200000000+900000000</f>
        <v>1100000000</v>
      </c>
      <c r="L38" s="613">
        <f>200000000+900000000</f>
        <v>1100000000</v>
      </c>
      <c r="M38" s="52">
        <f>200000000+900000000</f>
        <v>1100000000</v>
      </c>
      <c r="N38" s="44"/>
      <c r="O38" s="44"/>
      <c r="P38" s="44"/>
      <c r="Q38" s="549"/>
      <c r="R38" s="488"/>
    </row>
    <row r="39" spans="2:19" s="62" customFormat="1" ht="3.75" customHeight="1" x14ac:dyDescent="0.25">
      <c r="B39" s="59"/>
      <c r="C39" s="766"/>
      <c r="D39" s="759"/>
      <c r="E39" s="851"/>
      <c r="F39" s="1611"/>
      <c r="G39" s="1612"/>
      <c r="H39" s="846"/>
      <c r="I39" s="847"/>
      <c r="J39" s="611"/>
      <c r="K39" s="611"/>
      <c r="L39" s="611"/>
      <c r="M39" s="43"/>
      <c r="N39" s="44"/>
      <c r="O39" s="44"/>
      <c r="P39" s="44"/>
      <c r="Q39" s="852"/>
      <c r="R39" s="488"/>
    </row>
    <row r="40" spans="2:19" s="15" customFormat="1" ht="23.25" customHeight="1" x14ac:dyDescent="0.25">
      <c r="B40" s="13"/>
      <c r="C40" s="34" t="s">
        <v>435</v>
      </c>
      <c r="D40" s="1599" t="s">
        <v>59</v>
      </c>
      <c r="E40" s="1600"/>
      <c r="F40" s="1600"/>
      <c r="G40" s="1601"/>
      <c r="H40" s="35" t="s">
        <v>60</v>
      </c>
      <c r="I40" s="36"/>
      <c r="J40" s="610">
        <f>SUM(J41)</f>
        <v>329692000</v>
      </c>
      <c r="K40" s="610">
        <f>SUM(K41)</f>
        <v>329692000</v>
      </c>
      <c r="L40" s="610">
        <f>SUM(L41)</f>
        <v>329692000</v>
      </c>
      <c r="M40" s="37">
        <f>SUM(M41)</f>
        <v>329692000</v>
      </c>
      <c r="N40" s="991"/>
      <c r="O40" s="991"/>
      <c r="P40" s="38"/>
      <c r="Q40" s="547"/>
      <c r="R40" s="487"/>
    </row>
    <row r="41" spans="2:19" s="29" customFormat="1" ht="19.5" customHeight="1" x14ac:dyDescent="0.25">
      <c r="B41" s="13"/>
      <c r="C41" s="76"/>
      <c r="D41" s="77" t="s">
        <v>5</v>
      </c>
      <c r="E41" s="1602" t="s">
        <v>61</v>
      </c>
      <c r="F41" s="1603"/>
      <c r="G41" s="1604"/>
      <c r="H41" s="50" t="s">
        <v>62</v>
      </c>
      <c r="I41" s="51">
        <v>1</v>
      </c>
      <c r="J41" s="613">
        <f>347700000-18008000</f>
        <v>329692000</v>
      </c>
      <c r="K41" s="613">
        <f>347700000-18008000</f>
        <v>329692000</v>
      </c>
      <c r="L41" s="613">
        <f>347700000-18008000</f>
        <v>329692000</v>
      </c>
      <c r="M41" s="52">
        <f>347700000-18008000</f>
        <v>329692000</v>
      </c>
      <c r="N41" s="44"/>
      <c r="O41" s="44"/>
      <c r="P41" s="44"/>
      <c r="Q41" s="545"/>
      <c r="R41" s="488"/>
    </row>
    <row r="42" spans="2:19" s="29" customFormat="1" ht="3.75" customHeight="1" x14ac:dyDescent="0.25">
      <c r="B42" s="13"/>
      <c r="C42" s="91"/>
      <c r="D42" s="92"/>
      <c r="E42" s="1613"/>
      <c r="F42" s="1614"/>
      <c r="G42" s="1615"/>
      <c r="H42" s="93"/>
      <c r="I42" s="470"/>
      <c r="J42" s="619"/>
      <c r="K42" s="619"/>
      <c r="L42" s="619"/>
      <c r="M42" s="94"/>
      <c r="N42" s="992"/>
      <c r="O42" s="992"/>
      <c r="P42" s="44"/>
      <c r="Q42" s="548"/>
      <c r="R42" s="488"/>
    </row>
    <row r="43" spans="2:19" s="15" customFormat="1" ht="22.5" customHeight="1" x14ac:dyDescent="0.25">
      <c r="B43" s="13"/>
      <c r="C43" s="34" t="s">
        <v>436</v>
      </c>
      <c r="D43" s="1599" t="s">
        <v>63</v>
      </c>
      <c r="E43" s="1600"/>
      <c r="F43" s="1600"/>
      <c r="G43" s="1601"/>
      <c r="H43" s="35" t="s">
        <v>64</v>
      </c>
      <c r="I43" s="36"/>
      <c r="J43" s="610">
        <f>J44</f>
        <v>250000000</v>
      </c>
      <c r="K43" s="610">
        <f>K44</f>
        <v>250000000</v>
      </c>
      <c r="L43" s="610">
        <f>L44</f>
        <v>250000000</v>
      </c>
      <c r="M43" s="37">
        <f>M44</f>
        <v>250000000</v>
      </c>
      <c r="N43" s="991"/>
      <c r="O43" s="991"/>
      <c r="P43" s="38"/>
      <c r="Q43" s="547"/>
      <c r="R43" s="487"/>
    </row>
    <row r="44" spans="2:19" s="82" customFormat="1" ht="34.5" customHeight="1" x14ac:dyDescent="0.25">
      <c r="B44" s="59"/>
      <c r="C44" s="78"/>
      <c r="D44" s="79" t="s">
        <v>5</v>
      </c>
      <c r="E44" s="1593" t="s">
        <v>65</v>
      </c>
      <c r="F44" s="1594"/>
      <c r="G44" s="1595"/>
      <c r="H44" s="80" t="s">
        <v>66</v>
      </c>
      <c r="I44" s="81">
        <v>1</v>
      </c>
      <c r="J44" s="613">
        <f>300000000-50000000</f>
        <v>250000000</v>
      </c>
      <c r="K44" s="613">
        <f>300000000-50000000</f>
        <v>250000000</v>
      </c>
      <c r="L44" s="613">
        <f>300000000-50000000</f>
        <v>250000000</v>
      </c>
      <c r="M44" s="52">
        <f>300000000-50000000</f>
        <v>250000000</v>
      </c>
      <c r="N44" s="44"/>
      <c r="O44" s="44"/>
      <c r="P44" s="44"/>
      <c r="Q44" s="549"/>
      <c r="R44" s="488"/>
    </row>
    <row r="45" spans="2:19" s="15" customFormat="1" ht="7.5" customHeight="1" x14ac:dyDescent="0.25">
      <c r="B45" s="13"/>
      <c r="C45" s="83"/>
      <c r="D45" s="84"/>
      <c r="E45" s="1596"/>
      <c r="F45" s="1597"/>
      <c r="G45" s="1598"/>
      <c r="H45" s="41"/>
      <c r="I45" s="57"/>
      <c r="J45" s="614"/>
      <c r="K45" s="614"/>
      <c r="L45" s="614"/>
      <c r="M45" s="58"/>
      <c r="N45" s="992"/>
      <c r="O45" s="992"/>
      <c r="P45" s="44"/>
      <c r="Q45" s="546"/>
      <c r="R45" s="488"/>
    </row>
    <row r="46" spans="2:19" s="15" customFormat="1" ht="33" customHeight="1" x14ac:dyDescent="0.25">
      <c r="B46" s="13"/>
      <c r="C46" s="34" t="s">
        <v>437</v>
      </c>
      <c r="D46" s="1599" t="s">
        <v>67</v>
      </c>
      <c r="E46" s="1600"/>
      <c r="F46" s="1600"/>
      <c r="G46" s="1601"/>
      <c r="H46" s="35" t="s">
        <v>68</v>
      </c>
      <c r="I46" s="36"/>
      <c r="J46" s="610">
        <f>SUM(J47:J50)</f>
        <v>1472000000</v>
      </c>
      <c r="K46" s="610">
        <f>SUM(K47:K50)</f>
        <v>1472000000</v>
      </c>
      <c r="L46" s="610">
        <f>SUM(L47:L50)</f>
        <v>1472000000</v>
      </c>
      <c r="M46" s="37">
        <f>SUM(M47:M50)</f>
        <v>1422000000</v>
      </c>
      <c r="N46" s="991"/>
      <c r="O46" s="991"/>
      <c r="P46" s="38"/>
      <c r="Q46" s="547"/>
      <c r="R46" s="487"/>
    </row>
    <row r="47" spans="2:19" s="29" customFormat="1" ht="16.5" customHeight="1" x14ac:dyDescent="0.25">
      <c r="B47" s="13"/>
      <c r="C47" s="54"/>
      <c r="D47" s="55" t="s">
        <v>5</v>
      </c>
      <c r="E47" s="1602" t="s">
        <v>69</v>
      </c>
      <c r="F47" s="1603"/>
      <c r="G47" s="1604"/>
      <c r="H47" s="41" t="s">
        <v>466</v>
      </c>
      <c r="I47" s="85">
        <v>1</v>
      </c>
      <c r="J47" s="1083">
        <v>300000000</v>
      </c>
      <c r="K47" s="1083">
        <f>300000000</f>
        <v>300000000</v>
      </c>
      <c r="L47" s="1083">
        <v>300000000</v>
      </c>
      <c r="M47" s="1084">
        <f>300000000-50000000</f>
        <v>250000000</v>
      </c>
      <c r="N47" s="992"/>
      <c r="O47" s="992"/>
      <c r="P47" s="44"/>
      <c r="Q47" s="550"/>
      <c r="R47" s="488"/>
    </row>
    <row r="48" spans="2:19" s="29" customFormat="1" ht="16.5" customHeight="1" x14ac:dyDescent="0.25">
      <c r="B48" s="13"/>
      <c r="C48" s="54"/>
      <c r="D48" s="55" t="s">
        <v>10</v>
      </c>
      <c r="E48" s="1584" t="s">
        <v>70</v>
      </c>
      <c r="F48" s="1585"/>
      <c r="G48" s="1586"/>
      <c r="H48" s="46" t="s">
        <v>71</v>
      </c>
      <c r="I48" s="42">
        <v>1</v>
      </c>
      <c r="J48" s="620">
        <v>350000000</v>
      </c>
      <c r="K48" s="620">
        <v>350000000</v>
      </c>
      <c r="L48" s="620">
        <v>350000000</v>
      </c>
      <c r="M48" s="86">
        <v>350000000</v>
      </c>
      <c r="N48" s="992"/>
      <c r="O48" s="992"/>
      <c r="P48" s="44"/>
      <c r="Q48" s="551"/>
      <c r="R48" s="488"/>
    </row>
    <row r="49" spans="2:20" s="29" customFormat="1" ht="16.5" customHeight="1" x14ac:dyDescent="0.25">
      <c r="B49" s="13"/>
      <c r="C49" s="87"/>
      <c r="D49" s="88" t="s">
        <v>13</v>
      </c>
      <c r="E49" s="1605" t="s">
        <v>72</v>
      </c>
      <c r="F49" s="1606"/>
      <c r="G49" s="1607"/>
      <c r="H49" s="46" t="s">
        <v>73</v>
      </c>
      <c r="I49" s="42">
        <v>1</v>
      </c>
      <c r="J49" s="612">
        <f>722000000</f>
        <v>722000000</v>
      </c>
      <c r="K49" s="612">
        <f>722000000</f>
        <v>722000000</v>
      </c>
      <c r="L49" s="612">
        <f>722000000</f>
        <v>722000000</v>
      </c>
      <c r="M49" s="47">
        <f>722000000</f>
        <v>722000000</v>
      </c>
      <c r="N49" s="44"/>
      <c r="O49" s="44"/>
      <c r="P49" s="44"/>
      <c r="Q49" s="551"/>
      <c r="R49" s="488"/>
    </row>
    <row r="50" spans="2:20" s="29" customFormat="1" ht="28.5" customHeight="1" x14ac:dyDescent="0.25">
      <c r="B50" s="13"/>
      <c r="C50" s="76"/>
      <c r="D50" s="89" t="s">
        <v>16</v>
      </c>
      <c r="E50" s="1584" t="s">
        <v>74</v>
      </c>
      <c r="F50" s="1585"/>
      <c r="G50" s="1586"/>
      <c r="H50" s="50" t="s">
        <v>467</v>
      </c>
      <c r="I50" s="51">
        <v>1</v>
      </c>
      <c r="J50" s="621">
        <v>100000000</v>
      </c>
      <c r="K50" s="621">
        <v>100000000</v>
      </c>
      <c r="L50" s="621">
        <v>100000000</v>
      </c>
      <c r="M50" s="90">
        <v>100000000</v>
      </c>
      <c r="N50" s="992"/>
      <c r="O50" s="992"/>
      <c r="P50" s="44"/>
      <c r="Q50" s="545"/>
      <c r="R50" s="488"/>
    </row>
    <row r="51" spans="2:20" ht="3.75" customHeight="1" x14ac:dyDescent="0.25">
      <c r="C51" s="95"/>
      <c r="D51" s="96"/>
      <c r="E51" s="1098"/>
      <c r="F51" s="97"/>
      <c r="G51" s="1099"/>
      <c r="H51" s="98"/>
      <c r="I51" s="99"/>
      <c r="J51" s="622"/>
      <c r="K51" s="622"/>
      <c r="L51" s="622"/>
      <c r="M51" s="100"/>
      <c r="N51" s="993"/>
      <c r="O51" s="993"/>
      <c r="P51" s="101"/>
      <c r="Q51" s="552"/>
      <c r="R51" s="491"/>
    </row>
    <row r="52" spans="2:20" s="15" customFormat="1" ht="30" customHeight="1" x14ac:dyDescent="0.25">
      <c r="B52" s="13"/>
      <c r="C52" s="102"/>
      <c r="D52" s="1587" t="s">
        <v>75</v>
      </c>
      <c r="E52" s="1588"/>
      <c r="F52" s="1588"/>
      <c r="G52" s="1588"/>
      <c r="H52" s="1588"/>
      <c r="I52" s="1589"/>
      <c r="J52" s="623">
        <f>J53+J143+J169+J174+J182+J223+J227+J231+J238+J254+J260</f>
        <v>296526922971</v>
      </c>
      <c r="K52" s="623">
        <f>K53+K143+K169+K174+K182+K223+K227+K231+K238+K254+K260</f>
        <v>333875410542</v>
      </c>
      <c r="L52" s="623">
        <f>L53+L143+L169+L174+L182+L223+L227+L231+L238+L254+L260</f>
        <v>312375410542</v>
      </c>
      <c r="M52" s="103">
        <f>M53+M143+M169+M174+M182+M223+M227+M231+M238+M254+M260</f>
        <v>333925410542</v>
      </c>
      <c r="N52" s="994"/>
      <c r="O52" s="994"/>
      <c r="P52" s="104"/>
      <c r="Q52" s="593"/>
      <c r="R52" s="14"/>
    </row>
    <row r="53" spans="2:20" s="15" customFormat="1" ht="32.25" customHeight="1" x14ac:dyDescent="0.25">
      <c r="B53" s="13"/>
      <c r="C53" s="1506" t="s">
        <v>438</v>
      </c>
      <c r="D53" s="1507"/>
      <c r="E53" s="1590" t="s">
        <v>76</v>
      </c>
      <c r="F53" s="1591"/>
      <c r="G53" s="1592"/>
      <c r="H53" s="105" t="s">
        <v>77</v>
      </c>
      <c r="I53" s="106"/>
      <c r="J53" s="624">
        <f>J54+J55+J59+J63+J66+J67+J68+J69+J91+J93+J97+J102+J112+J115+J120+J126+J128+J130+J132+J137</f>
        <v>175815000000</v>
      </c>
      <c r="K53" s="624">
        <f>K54+K55+K59+K63+K66+K67+K68+K69+K91+K93+K97+K102+K112+K115+K120+K126+K128+K130+K132+K137</f>
        <v>197315000000</v>
      </c>
      <c r="L53" s="624">
        <f>L54+L55+L59+L63+L66+L67+L68+L69+L91+L93+L97+L102+L112+L115+L120+L126+L128+L130+L132+L137</f>
        <v>179015000000</v>
      </c>
      <c r="M53" s="107">
        <f>M54+M55+M59+M63+M66+M67+M68+M69+M91+M93+M97+M102+M112+M115+M120+M126+M128+M130+M132+M137</f>
        <v>200565000000</v>
      </c>
      <c r="N53" s="995"/>
      <c r="O53" s="995"/>
      <c r="P53" s="108"/>
      <c r="Q53" s="515"/>
      <c r="R53" s="108"/>
      <c r="S53" s="16">
        <v>1100000000</v>
      </c>
      <c r="T53" s="21">
        <v>172915000000</v>
      </c>
    </row>
    <row r="54" spans="2:20" s="113" customFormat="1" ht="27.75" customHeight="1" x14ac:dyDescent="0.25">
      <c r="B54" s="59"/>
      <c r="C54" s="114"/>
      <c r="D54" s="447"/>
      <c r="E54" s="88" t="s">
        <v>5</v>
      </c>
      <c r="F54" s="1579" t="s">
        <v>78</v>
      </c>
      <c r="G54" s="1580"/>
      <c r="H54" s="165" t="s">
        <v>79</v>
      </c>
      <c r="I54" s="110">
        <v>1</v>
      </c>
      <c r="J54" s="625">
        <f>550000000+200000000</f>
        <v>750000000</v>
      </c>
      <c r="K54" s="625">
        <f>550000000+200000000</f>
        <v>750000000</v>
      </c>
      <c r="L54" s="625">
        <f>550000000+200000000</f>
        <v>750000000</v>
      </c>
      <c r="M54" s="111">
        <f>550000000+200000000+50000000</f>
        <v>800000000</v>
      </c>
      <c r="N54" s="112"/>
      <c r="O54" s="112"/>
      <c r="P54" s="112"/>
      <c r="Q54" s="553"/>
      <c r="R54" s="112"/>
    </row>
    <row r="55" spans="2:20" s="113" customFormat="1" ht="19.5" customHeight="1" x14ac:dyDescent="0.25">
      <c r="B55" s="59"/>
      <c r="C55" s="39"/>
      <c r="D55" s="109"/>
      <c r="E55" s="450" t="s">
        <v>10</v>
      </c>
      <c r="F55" s="1577" t="s">
        <v>80</v>
      </c>
      <c r="G55" s="1578"/>
      <c r="H55" s="173" t="s">
        <v>411</v>
      </c>
      <c r="I55" s="445" t="s">
        <v>430</v>
      </c>
      <c r="J55" s="626">
        <f>SUM(J56:J58)</f>
        <v>850000000</v>
      </c>
      <c r="K55" s="626">
        <f t="shared" ref="K55:M55" si="0">SUM(K56:K58)</f>
        <v>1350000000</v>
      </c>
      <c r="L55" s="626">
        <f t="shared" si="0"/>
        <v>850000000</v>
      </c>
      <c r="M55" s="117">
        <f t="shared" si="0"/>
        <v>1350000000</v>
      </c>
      <c r="N55" s="118"/>
      <c r="O55" s="118"/>
      <c r="P55" s="118"/>
      <c r="Q55" s="554"/>
      <c r="R55" s="118"/>
    </row>
    <row r="56" spans="2:20" s="113" customFormat="1" x14ac:dyDescent="0.25">
      <c r="B56" s="59"/>
      <c r="C56" s="119"/>
      <c r="D56" s="120"/>
      <c r="E56" s="121"/>
      <c r="F56" s="122" t="s">
        <v>46</v>
      </c>
      <c r="G56" s="123" t="s">
        <v>81</v>
      </c>
      <c r="H56" s="601"/>
      <c r="I56" s="124" t="s">
        <v>86</v>
      </c>
      <c r="J56" s="627">
        <v>500000000</v>
      </c>
      <c r="K56" s="627">
        <v>500000000</v>
      </c>
      <c r="L56" s="627">
        <v>500000000</v>
      </c>
      <c r="M56" s="125">
        <v>500000000</v>
      </c>
      <c r="N56" s="126"/>
      <c r="O56" s="126"/>
      <c r="P56" s="126"/>
      <c r="Q56" s="555"/>
      <c r="R56" s="126"/>
    </row>
    <row r="57" spans="2:20" s="113" customFormat="1" x14ac:dyDescent="0.25">
      <c r="B57" s="59"/>
      <c r="C57" s="119"/>
      <c r="D57" s="120"/>
      <c r="E57" s="121"/>
      <c r="F57" s="122" t="s">
        <v>46</v>
      </c>
      <c r="G57" s="123" t="s">
        <v>82</v>
      </c>
      <c r="H57" s="601"/>
      <c r="I57" s="124" t="s">
        <v>86</v>
      </c>
      <c r="J57" s="627">
        <v>350000000</v>
      </c>
      <c r="K57" s="627">
        <v>350000000</v>
      </c>
      <c r="L57" s="627">
        <v>350000000</v>
      </c>
      <c r="M57" s="125">
        <v>350000000</v>
      </c>
      <c r="N57" s="126"/>
      <c r="O57" s="126"/>
      <c r="P57" s="126"/>
      <c r="Q57" s="555"/>
      <c r="R57" s="126"/>
    </row>
    <row r="58" spans="2:20" s="113" customFormat="1" x14ac:dyDescent="0.25">
      <c r="B58" s="59"/>
      <c r="C58" s="119"/>
      <c r="D58" s="120"/>
      <c r="E58" s="121"/>
      <c r="F58" s="122" t="s">
        <v>46</v>
      </c>
      <c r="G58" s="1124" t="s">
        <v>518</v>
      </c>
      <c r="H58" s="601"/>
      <c r="I58" s="124" t="s">
        <v>86</v>
      </c>
      <c r="J58" s="1075">
        <v>0</v>
      </c>
      <c r="K58" s="1075">
        <f>500000000</f>
        <v>500000000</v>
      </c>
      <c r="L58" s="1075">
        <v>0</v>
      </c>
      <c r="M58" s="1076">
        <f>500000000</f>
        <v>500000000</v>
      </c>
      <c r="N58" s="126"/>
      <c r="O58" s="126"/>
      <c r="P58" s="126"/>
      <c r="Q58" s="555"/>
      <c r="R58" s="126"/>
    </row>
    <row r="59" spans="2:20" s="113" customFormat="1" ht="21" customHeight="1" x14ac:dyDescent="0.25">
      <c r="B59" s="59"/>
      <c r="C59" s="39"/>
      <c r="D59" s="109"/>
      <c r="E59" s="449" t="s">
        <v>13</v>
      </c>
      <c r="F59" s="1581" t="s">
        <v>83</v>
      </c>
      <c r="G59" s="1581"/>
      <c r="H59" s="469" t="s">
        <v>412</v>
      </c>
      <c r="I59" s="444" t="s">
        <v>430</v>
      </c>
      <c r="J59" s="626">
        <f>SUM(J60:J61)</f>
        <v>400000000</v>
      </c>
      <c r="K59" s="626">
        <f>SUM(K60:K61)</f>
        <v>400000000</v>
      </c>
      <c r="L59" s="626">
        <f>SUM(L60:L61)</f>
        <v>400000000</v>
      </c>
      <c r="M59" s="117">
        <f>SUM(M60:M61)</f>
        <v>400000000</v>
      </c>
      <c r="N59" s="118"/>
      <c r="O59" s="118"/>
      <c r="P59" s="118"/>
      <c r="Q59" s="556"/>
      <c r="R59" s="118"/>
    </row>
    <row r="60" spans="2:20" s="113" customFormat="1" x14ac:dyDescent="0.25">
      <c r="B60" s="59"/>
      <c r="C60" s="127"/>
      <c r="D60" s="128"/>
      <c r="E60" s="129"/>
      <c r="F60" s="130" t="s">
        <v>46</v>
      </c>
      <c r="G60" s="131" t="s">
        <v>84</v>
      </c>
      <c r="H60" s="602"/>
      <c r="I60" s="116" t="s">
        <v>86</v>
      </c>
      <c r="J60" s="627">
        <v>200000000</v>
      </c>
      <c r="K60" s="627">
        <v>200000000</v>
      </c>
      <c r="L60" s="627">
        <v>200000000</v>
      </c>
      <c r="M60" s="125">
        <v>200000000</v>
      </c>
      <c r="N60" s="126"/>
      <c r="O60" s="126"/>
      <c r="P60" s="126"/>
      <c r="Q60" s="557"/>
      <c r="R60" s="126"/>
    </row>
    <row r="61" spans="2:20" s="113" customFormat="1" ht="14.25" customHeight="1" x14ac:dyDescent="0.25">
      <c r="B61" s="59"/>
      <c r="C61" s="119"/>
      <c r="D61" s="120"/>
      <c r="E61" s="121"/>
      <c r="F61" s="122" t="s">
        <v>46</v>
      </c>
      <c r="G61" s="123" t="s">
        <v>85</v>
      </c>
      <c r="H61" s="601"/>
      <c r="I61" s="124" t="s">
        <v>86</v>
      </c>
      <c r="J61" s="627">
        <v>200000000</v>
      </c>
      <c r="K61" s="627">
        <v>200000000</v>
      </c>
      <c r="L61" s="627">
        <v>200000000</v>
      </c>
      <c r="M61" s="125">
        <v>200000000</v>
      </c>
      <c r="N61" s="126"/>
      <c r="O61" s="126"/>
      <c r="P61" s="126"/>
      <c r="Q61" s="555"/>
      <c r="R61" s="126"/>
    </row>
    <row r="62" spans="2:20" s="82" customFormat="1" ht="20.25" customHeight="1" x14ac:dyDescent="0.25">
      <c r="B62" s="59"/>
      <c r="C62" s="39"/>
      <c r="D62" s="109"/>
      <c r="E62" s="88" t="s">
        <v>16</v>
      </c>
      <c r="F62" s="1582" t="s">
        <v>87</v>
      </c>
      <c r="G62" s="1583"/>
      <c r="H62" s="1101" t="s">
        <v>413</v>
      </c>
      <c r="I62" s="134">
        <v>1</v>
      </c>
      <c r="J62" s="628">
        <v>0</v>
      </c>
      <c r="K62" s="628">
        <v>0</v>
      </c>
      <c r="L62" s="628">
        <v>0</v>
      </c>
      <c r="M62" s="135">
        <v>0</v>
      </c>
      <c r="N62" s="108"/>
      <c r="O62" s="108"/>
      <c r="P62" s="108"/>
      <c r="Q62" s="558"/>
      <c r="R62" s="108"/>
      <c r="S62" s="136"/>
    </row>
    <row r="63" spans="2:20" s="82" customFormat="1" ht="29.25" customHeight="1" x14ac:dyDescent="0.25">
      <c r="B63" s="59"/>
      <c r="C63" s="39"/>
      <c r="D63" s="109"/>
      <c r="E63" s="88" t="s">
        <v>19</v>
      </c>
      <c r="F63" s="1582" t="s">
        <v>88</v>
      </c>
      <c r="G63" s="1583"/>
      <c r="H63" s="469" t="s">
        <v>414</v>
      </c>
      <c r="I63" s="443" t="s">
        <v>430</v>
      </c>
      <c r="J63" s="626">
        <f>SUM(J64:J65)</f>
        <v>900000000</v>
      </c>
      <c r="K63" s="626">
        <f>SUM(K64:K65)</f>
        <v>900000000</v>
      </c>
      <c r="L63" s="626">
        <f>SUM(L64:L65)</f>
        <v>900000000</v>
      </c>
      <c r="M63" s="117">
        <f>SUM(M64:M65)</f>
        <v>900000000</v>
      </c>
      <c r="N63" s="118"/>
      <c r="O63" s="118"/>
      <c r="P63" s="118"/>
      <c r="Q63" s="559"/>
      <c r="R63" s="118"/>
    </row>
    <row r="64" spans="2:20" s="113" customFormat="1" ht="15.75" customHeight="1" x14ac:dyDescent="0.25">
      <c r="B64" s="59"/>
      <c r="C64" s="119"/>
      <c r="D64" s="120"/>
      <c r="E64" s="121"/>
      <c r="F64" s="122" t="s">
        <v>46</v>
      </c>
      <c r="G64" s="138" t="s">
        <v>392</v>
      </c>
      <c r="H64" s="601"/>
      <c r="I64" s="137" t="s">
        <v>86</v>
      </c>
      <c r="J64" s="627">
        <v>600000000</v>
      </c>
      <c r="K64" s="627">
        <v>600000000</v>
      </c>
      <c r="L64" s="627">
        <v>600000000</v>
      </c>
      <c r="M64" s="125">
        <v>600000000</v>
      </c>
      <c r="N64" s="126"/>
      <c r="O64" s="126"/>
      <c r="P64" s="126"/>
      <c r="Q64" s="560"/>
      <c r="R64" s="126"/>
    </row>
    <row r="65" spans="2:21" s="113" customFormat="1" ht="25.5" x14ac:dyDescent="0.25">
      <c r="B65" s="59"/>
      <c r="C65" s="119"/>
      <c r="D65" s="120"/>
      <c r="E65" s="121"/>
      <c r="F65" s="122" t="s">
        <v>46</v>
      </c>
      <c r="G65" s="138" t="s">
        <v>89</v>
      </c>
      <c r="H65" s="601"/>
      <c r="I65" s="137" t="s">
        <v>86</v>
      </c>
      <c r="J65" s="627">
        <v>300000000</v>
      </c>
      <c r="K65" s="627">
        <v>300000000</v>
      </c>
      <c r="L65" s="627">
        <v>300000000</v>
      </c>
      <c r="M65" s="125">
        <v>300000000</v>
      </c>
      <c r="N65" s="126"/>
      <c r="O65" s="126"/>
      <c r="P65" s="126"/>
      <c r="Q65" s="519"/>
      <c r="R65" s="126"/>
    </row>
    <row r="66" spans="2:21" s="29" customFormat="1" ht="19.5" customHeight="1" x14ac:dyDescent="0.25">
      <c r="B66" s="13"/>
      <c r="C66" s="39"/>
      <c r="D66" s="140"/>
      <c r="E66" s="109" t="s">
        <v>27</v>
      </c>
      <c r="F66" s="1533" t="s">
        <v>90</v>
      </c>
      <c r="G66" s="1534"/>
      <c r="H66" s="172" t="s">
        <v>91</v>
      </c>
      <c r="I66" s="142" t="s">
        <v>92</v>
      </c>
      <c r="J66" s="629">
        <f>100000000</f>
        <v>100000000</v>
      </c>
      <c r="K66" s="629">
        <f>100000000</f>
        <v>100000000</v>
      </c>
      <c r="L66" s="629">
        <f>100000000</f>
        <v>100000000</v>
      </c>
      <c r="M66" s="143">
        <f>100000000</f>
        <v>100000000</v>
      </c>
      <c r="N66" s="144"/>
      <c r="O66" s="144"/>
      <c r="P66" s="144"/>
      <c r="Q66" s="520"/>
      <c r="R66" s="492"/>
      <c r="U66" s="145"/>
    </row>
    <row r="67" spans="2:21" s="62" customFormat="1" ht="19.5" customHeight="1" x14ac:dyDescent="0.25">
      <c r="B67" s="59"/>
      <c r="C67" s="39"/>
      <c r="D67" s="109"/>
      <c r="E67" s="88" t="s">
        <v>30</v>
      </c>
      <c r="F67" s="1582" t="s">
        <v>93</v>
      </c>
      <c r="G67" s="1583"/>
      <c r="H67" s="1101" t="s">
        <v>94</v>
      </c>
      <c r="I67" s="442" t="s">
        <v>481</v>
      </c>
      <c r="J67" s="630">
        <f>7200000000+4000000000</f>
        <v>11200000000</v>
      </c>
      <c r="K67" s="630">
        <f>7200000000+4000000000</f>
        <v>11200000000</v>
      </c>
      <c r="L67" s="630">
        <f>7200000000+4000000000</f>
        <v>11200000000</v>
      </c>
      <c r="M67" s="146">
        <f>7200000000+4000000000</f>
        <v>11200000000</v>
      </c>
      <c r="N67" s="147"/>
      <c r="O67" s="147"/>
      <c r="P67" s="147"/>
      <c r="Q67" s="521"/>
      <c r="R67" s="118"/>
      <c r="S67" s="148"/>
      <c r="U67" s="148">
        <f>T67/800000</f>
        <v>0</v>
      </c>
    </row>
    <row r="68" spans="2:21" s="113" customFormat="1" ht="19.5" customHeight="1" x14ac:dyDescent="0.25">
      <c r="B68" s="59"/>
      <c r="C68" s="39"/>
      <c r="D68" s="109"/>
      <c r="E68" s="88" t="s">
        <v>8</v>
      </c>
      <c r="F68" s="1582" t="s">
        <v>95</v>
      </c>
      <c r="G68" s="1583"/>
      <c r="H68" s="469" t="s">
        <v>96</v>
      </c>
      <c r="I68" s="110" t="s">
        <v>429</v>
      </c>
      <c r="J68" s="631">
        <f>16100000000-10000000000+200000000</f>
        <v>6300000000</v>
      </c>
      <c r="K68" s="631">
        <f>16100000000-10000000000+200000000</f>
        <v>6300000000</v>
      </c>
      <c r="L68" s="631">
        <f>16100000000-10000000000+200000000</f>
        <v>6300000000</v>
      </c>
      <c r="M68" s="149">
        <f>16100000000-10000000000+200000000</f>
        <v>6300000000</v>
      </c>
      <c r="N68" s="150"/>
      <c r="O68" s="150"/>
      <c r="P68" s="150"/>
      <c r="Q68" s="516"/>
      <c r="R68" s="112"/>
      <c r="T68" s="151"/>
    </row>
    <row r="69" spans="2:21" s="82" customFormat="1" ht="19.5" customHeight="1" x14ac:dyDescent="0.25">
      <c r="B69" s="59"/>
      <c r="C69" s="39"/>
      <c r="D69" s="109"/>
      <c r="E69" s="88" t="s">
        <v>22</v>
      </c>
      <c r="F69" s="1579" t="s">
        <v>97</v>
      </c>
      <c r="G69" s="1580"/>
      <c r="H69" s="152" t="s">
        <v>98</v>
      </c>
      <c r="I69" s="153">
        <v>1</v>
      </c>
      <c r="J69" s="632">
        <f>SUM(J70:J75)</f>
        <v>6600000000</v>
      </c>
      <c r="K69" s="632">
        <f>SUM(K70:K75)</f>
        <v>6600000000</v>
      </c>
      <c r="L69" s="632">
        <f>SUM(L70:L75)</f>
        <v>6600000000</v>
      </c>
      <c r="M69" s="154">
        <f>SUM(M70:M75)</f>
        <v>6600000000</v>
      </c>
      <c r="N69" s="118"/>
      <c r="O69" s="118"/>
      <c r="P69" s="118"/>
      <c r="Q69" s="522"/>
      <c r="R69" s="118"/>
      <c r="T69" s="155"/>
    </row>
    <row r="70" spans="2:21" s="163" customFormat="1" x14ac:dyDescent="0.25">
      <c r="B70" s="59"/>
      <c r="C70" s="119"/>
      <c r="D70" s="156"/>
      <c r="E70" s="157"/>
      <c r="F70" s="158" t="s">
        <v>46</v>
      </c>
      <c r="G70" s="159" t="s">
        <v>99</v>
      </c>
      <c r="H70" s="160"/>
      <c r="I70" s="161"/>
      <c r="J70" s="633">
        <v>1100000000</v>
      </c>
      <c r="K70" s="633">
        <v>1100000000</v>
      </c>
      <c r="L70" s="633">
        <v>1100000000</v>
      </c>
      <c r="M70" s="162">
        <v>1100000000</v>
      </c>
      <c r="N70" s="126"/>
      <c r="O70" s="126"/>
      <c r="P70" s="126"/>
      <c r="Q70" s="523"/>
      <c r="R70" s="126"/>
    </row>
    <row r="71" spans="2:21" s="163" customFormat="1" x14ac:dyDescent="0.25">
      <c r="B71" s="59"/>
      <c r="C71" s="119"/>
      <c r="D71" s="156"/>
      <c r="E71" s="157"/>
      <c r="F71" s="158" t="s">
        <v>46</v>
      </c>
      <c r="G71" s="159" t="s">
        <v>100</v>
      </c>
      <c r="H71" s="160"/>
      <c r="I71" s="161"/>
      <c r="J71" s="633">
        <v>1100000000</v>
      </c>
      <c r="K71" s="633">
        <v>1100000000</v>
      </c>
      <c r="L71" s="633">
        <v>1100000000</v>
      </c>
      <c r="M71" s="162">
        <v>1100000000</v>
      </c>
      <c r="N71" s="126"/>
      <c r="O71" s="126"/>
      <c r="P71" s="126"/>
      <c r="Q71" s="523"/>
      <c r="R71" s="126"/>
      <c r="T71" s="164"/>
    </row>
    <row r="72" spans="2:21" s="163" customFormat="1" x14ac:dyDescent="0.25">
      <c r="B72" s="59"/>
      <c r="C72" s="119"/>
      <c r="D72" s="156"/>
      <c r="E72" s="157"/>
      <c r="F72" s="158" t="s">
        <v>46</v>
      </c>
      <c r="G72" s="159" t="s">
        <v>101</v>
      </c>
      <c r="H72" s="160"/>
      <c r="I72" s="161"/>
      <c r="J72" s="633">
        <v>1100000000</v>
      </c>
      <c r="K72" s="633">
        <v>1100000000</v>
      </c>
      <c r="L72" s="633">
        <v>1100000000</v>
      </c>
      <c r="M72" s="162">
        <v>1100000000</v>
      </c>
      <c r="N72" s="126"/>
      <c r="O72" s="126"/>
      <c r="P72" s="126"/>
      <c r="Q72" s="523"/>
      <c r="R72" s="126"/>
    </row>
    <row r="73" spans="2:21" s="163" customFormat="1" x14ac:dyDescent="0.25">
      <c r="B73" s="59"/>
      <c r="C73" s="119"/>
      <c r="D73" s="156"/>
      <c r="E73" s="157"/>
      <c r="F73" s="158" t="s">
        <v>46</v>
      </c>
      <c r="G73" s="159" t="s">
        <v>102</v>
      </c>
      <c r="H73" s="160"/>
      <c r="I73" s="161"/>
      <c r="J73" s="633">
        <v>1100000000</v>
      </c>
      <c r="K73" s="633">
        <v>1100000000</v>
      </c>
      <c r="L73" s="633">
        <v>1100000000</v>
      </c>
      <c r="M73" s="162">
        <v>1100000000</v>
      </c>
      <c r="N73" s="126"/>
      <c r="O73" s="126"/>
      <c r="P73" s="126"/>
      <c r="Q73" s="523"/>
      <c r="R73" s="126"/>
    </row>
    <row r="74" spans="2:21" s="163" customFormat="1" x14ac:dyDescent="0.25">
      <c r="B74" s="59"/>
      <c r="C74" s="119"/>
      <c r="D74" s="156"/>
      <c r="E74" s="157"/>
      <c r="F74" s="158" t="s">
        <v>46</v>
      </c>
      <c r="G74" s="159" t="s">
        <v>103</v>
      </c>
      <c r="H74" s="160"/>
      <c r="I74" s="161"/>
      <c r="J74" s="633">
        <v>1100000000</v>
      </c>
      <c r="K74" s="633">
        <v>1100000000</v>
      </c>
      <c r="L74" s="633">
        <v>1100000000</v>
      </c>
      <c r="M74" s="162">
        <v>1100000000</v>
      </c>
      <c r="N74" s="126"/>
      <c r="O74" s="126"/>
      <c r="P74" s="126"/>
      <c r="Q74" s="523"/>
      <c r="R74" s="126"/>
    </row>
    <row r="75" spans="2:21" s="163" customFormat="1" x14ac:dyDescent="0.25">
      <c r="B75" s="59"/>
      <c r="C75" s="119"/>
      <c r="D75" s="156"/>
      <c r="E75" s="157"/>
      <c r="F75" s="158" t="s">
        <v>46</v>
      </c>
      <c r="G75" s="159" t="s">
        <v>104</v>
      </c>
      <c r="H75" s="160"/>
      <c r="I75" s="161"/>
      <c r="J75" s="633">
        <v>1100000000</v>
      </c>
      <c r="K75" s="633">
        <v>1100000000</v>
      </c>
      <c r="L75" s="633">
        <v>1100000000</v>
      </c>
      <c r="M75" s="162">
        <v>1100000000</v>
      </c>
      <c r="N75" s="126"/>
      <c r="O75" s="126"/>
      <c r="P75" s="126"/>
      <c r="Q75" s="523"/>
      <c r="R75" s="126"/>
    </row>
    <row r="76" spans="2:21" s="113" customFormat="1" ht="19.5" customHeight="1" x14ac:dyDescent="0.25">
      <c r="B76" s="59"/>
      <c r="C76" s="39"/>
      <c r="D76" s="109"/>
      <c r="E76" s="88" t="s">
        <v>210</v>
      </c>
      <c r="F76" s="1577" t="s">
        <v>105</v>
      </c>
      <c r="G76" s="1578"/>
      <c r="H76" s="165" t="s">
        <v>106</v>
      </c>
      <c r="I76" s="166">
        <v>1</v>
      </c>
      <c r="J76" s="634">
        <v>0</v>
      </c>
      <c r="K76" s="634">
        <v>0</v>
      </c>
      <c r="L76" s="634">
        <v>0</v>
      </c>
      <c r="M76" s="167">
        <v>0</v>
      </c>
      <c r="N76" s="168"/>
      <c r="O76" s="168"/>
      <c r="P76" s="168"/>
      <c r="Q76" s="524"/>
      <c r="R76" s="168"/>
      <c r="S76" s="113" t="s">
        <v>107</v>
      </c>
    </row>
    <row r="77" spans="2:21" s="113" customFormat="1" ht="15.75" hidden="1" customHeight="1" x14ac:dyDescent="0.25">
      <c r="B77" s="59"/>
      <c r="C77" s="119"/>
      <c r="D77" s="156"/>
      <c r="E77" s="157"/>
      <c r="F77" s="169" t="s">
        <v>46</v>
      </c>
      <c r="G77" s="170" t="s">
        <v>108</v>
      </c>
      <c r="H77" s="171"/>
      <c r="I77" s="116" t="s">
        <v>109</v>
      </c>
      <c r="J77" s="627">
        <v>17500000000</v>
      </c>
      <c r="K77" s="627">
        <v>17500000000</v>
      </c>
      <c r="L77" s="627">
        <v>17500000000</v>
      </c>
      <c r="M77" s="125">
        <v>17500000000</v>
      </c>
      <c r="N77" s="126"/>
      <c r="O77" s="126"/>
      <c r="P77" s="126"/>
      <c r="Q77" s="517"/>
      <c r="R77" s="126"/>
    </row>
    <row r="78" spans="2:21" s="113" customFormat="1" ht="15.75" hidden="1" customHeight="1" x14ac:dyDescent="0.25">
      <c r="B78" s="59"/>
      <c r="C78" s="119"/>
      <c r="D78" s="156"/>
      <c r="E78" s="157"/>
      <c r="F78" s="169" t="s">
        <v>46</v>
      </c>
      <c r="G78" s="170" t="s">
        <v>110</v>
      </c>
      <c r="H78" s="171"/>
      <c r="I78" s="116" t="s">
        <v>111</v>
      </c>
      <c r="J78" s="627">
        <v>7500000000</v>
      </c>
      <c r="K78" s="627">
        <v>7500000000</v>
      </c>
      <c r="L78" s="627">
        <v>7500000000</v>
      </c>
      <c r="M78" s="125">
        <v>7500000000</v>
      </c>
      <c r="N78" s="126"/>
      <c r="O78" s="126"/>
      <c r="P78" s="126"/>
      <c r="Q78" s="517"/>
      <c r="R78" s="126"/>
    </row>
    <row r="79" spans="2:21" s="113" customFormat="1" ht="15.75" hidden="1" customHeight="1" x14ac:dyDescent="0.25">
      <c r="B79" s="59"/>
      <c r="C79" s="119"/>
      <c r="D79" s="156"/>
      <c r="E79" s="157"/>
      <c r="F79" s="169" t="s">
        <v>46</v>
      </c>
      <c r="G79" s="170" t="s">
        <v>112</v>
      </c>
      <c r="H79" s="171"/>
      <c r="I79" s="116" t="s">
        <v>113</v>
      </c>
      <c r="J79" s="627">
        <v>15400000000</v>
      </c>
      <c r="K79" s="627">
        <v>15400000000</v>
      </c>
      <c r="L79" s="627">
        <v>15400000000</v>
      </c>
      <c r="M79" s="125">
        <v>15400000000</v>
      </c>
      <c r="N79" s="126"/>
      <c r="O79" s="126"/>
      <c r="P79" s="126"/>
      <c r="Q79" s="517"/>
      <c r="R79" s="126"/>
    </row>
    <row r="80" spans="2:21" s="113" customFormat="1" ht="15.75" hidden="1" customHeight="1" x14ac:dyDescent="0.25">
      <c r="B80" s="59"/>
      <c r="C80" s="119"/>
      <c r="D80" s="156"/>
      <c r="E80" s="157"/>
      <c r="F80" s="169" t="s">
        <v>46</v>
      </c>
      <c r="G80" s="170" t="s">
        <v>114</v>
      </c>
      <c r="H80" s="171"/>
      <c r="I80" s="116" t="s">
        <v>115</v>
      </c>
      <c r="J80" s="627">
        <v>0</v>
      </c>
      <c r="K80" s="627">
        <v>0</v>
      </c>
      <c r="L80" s="627">
        <v>0</v>
      </c>
      <c r="M80" s="125">
        <v>0</v>
      </c>
      <c r="N80" s="126"/>
      <c r="O80" s="126"/>
      <c r="P80" s="126"/>
      <c r="Q80" s="517"/>
      <c r="R80" s="126"/>
    </row>
    <row r="81" spans="2:21" s="113" customFormat="1" ht="15.75" hidden="1" customHeight="1" x14ac:dyDescent="0.25">
      <c r="B81" s="59"/>
      <c r="C81" s="119"/>
      <c r="D81" s="156"/>
      <c r="E81" s="157"/>
      <c r="F81" s="169" t="s">
        <v>46</v>
      </c>
      <c r="G81" s="170" t="s">
        <v>116</v>
      </c>
      <c r="H81" s="171"/>
      <c r="I81" s="116">
        <v>1</v>
      </c>
      <c r="J81" s="627">
        <v>1000000</v>
      </c>
      <c r="K81" s="627">
        <v>1000000</v>
      </c>
      <c r="L81" s="627">
        <v>1000000</v>
      </c>
      <c r="M81" s="125">
        <v>1000000</v>
      </c>
      <c r="N81" s="126"/>
      <c r="O81" s="126"/>
      <c r="P81" s="126"/>
      <c r="Q81" s="517"/>
      <c r="R81" s="126"/>
    </row>
    <row r="82" spans="2:21" s="113" customFormat="1" ht="15.75" hidden="1" customHeight="1" x14ac:dyDescent="0.25">
      <c r="B82" s="59"/>
      <c r="C82" s="119"/>
      <c r="D82" s="156"/>
      <c r="E82" s="157"/>
      <c r="F82" s="169" t="s">
        <v>46</v>
      </c>
      <c r="G82" s="170" t="s">
        <v>117</v>
      </c>
      <c r="H82" s="171"/>
      <c r="I82" s="116">
        <v>1</v>
      </c>
      <c r="J82" s="627">
        <v>1000000</v>
      </c>
      <c r="K82" s="627">
        <v>1000000</v>
      </c>
      <c r="L82" s="627">
        <v>1000000</v>
      </c>
      <c r="M82" s="125">
        <v>1000000</v>
      </c>
      <c r="N82" s="126"/>
      <c r="O82" s="126"/>
      <c r="P82" s="126"/>
      <c r="Q82" s="517"/>
      <c r="R82" s="126"/>
    </row>
    <row r="83" spans="2:21" s="113" customFormat="1" ht="30.75" hidden="1" customHeight="1" x14ac:dyDescent="0.25">
      <c r="B83" s="59"/>
      <c r="C83" s="119"/>
      <c r="D83" s="156"/>
      <c r="E83" s="157"/>
      <c r="F83" s="169" t="s">
        <v>46</v>
      </c>
      <c r="G83" s="170" t="s">
        <v>118</v>
      </c>
      <c r="H83" s="171"/>
      <c r="I83" s="116">
        <v>1</v>
      </c>
      <c r="J83" s="627">
        <v>1000000</v>
      </c>
      <c r="K83" s="627">
        <v>1000000</v>
      </c>
      <c r="L83" s="627">
        <v>1000000</v>
      </c>
      <c r="M83" s="125">
        <v>1000000</v>
      </c>
      <c r="N83" s="126"/>
      <c r="O83" s="126"/>
      <c r="P83" s="126"/>
      <c r="Q83" s="517"/>
      <c r="R83" s="126"/>
    </row>
    <row r="84" spans="2:21" s="113" customFormat="1" ht="15.75" hidden="1" customHeight="1" x14ac:dyDescent="0.25">
      <c r="B84" s="59"/>
      <c r="C84" s="119"/>
      <c r="D84" s="156"/>
      <c r="E84" s="157"/>
      <c r="F84" s="169" t="s">
        <v>46</v>
      </c>
      <c r="G84" s="170" t="s">
        <v>119</v>
      </c>
      <c r="H84" s="171"/>
      <c r="I84" s="116">
        <v>1</v>
      </c>
      <c r="J84" s="627">
        <v>1000000</v>
      </c>
      <c r="K84" s="627">
        <v>1000000</v>
      </c>
      <c r="L84" s="627">
        <v>1000000</v>
      </c>
      <c r="M84" s="125">
        <v>1000000</v>
      </c>
      <c r="N84" s="126"/>
      <c r="O84" s="126"/>
      <c r="P84" s="126"/>
      <c r="Q84" s="517"/>
      <c r="R84" s="126"/>
    </row>
    <row r="85" spans="2:21" s="113" customFormat="1" ht="15.75" hidden="1" customHeight="1" x14ac:dyDescent="0.25">
      <c r="B85" s="59"/>
      <c r="C85" s="119"/>
      <c r="D85" s="156"/>
      <c r="E85" s="157"/>
      <c r="F85" s="169" t="s">
        <v>46</v>
      </c>
      <c r="G85" s="170" t="s">
        <v>120</v>
      </c>
      <c r="H85" s="171"/>
      <c r="I85" s="116">
        <v>1</v>
      </c>
      <c r="J85" s="627">
        <v>1000000</v>
      </c>
      <c r="K85" s="627">
        <v>1000000</v>
      </c>
      <c r="L85" s="627">
        <v>1000000</v>
      </c>
      <c r="M85" s="125">
        <v>1000000</v>
      </c>
      <c r="N85" s="126"/>
      <c r="O85" s="126"/>
      <c r="P85" s="126"/>
      <c r="Q85" s="517"/>
      <c r="R85" s="126"/>
    </row>
    <row r="86" spans="2:21" s="113" customFormat="1" ht="30.75" hidden="1" customHeight="1" x14ac:dyDescent="0.25">
      <c r="B86" s="59"/>
      <c r="C86" s="119"/>
      <c r="D86" s="156"/>
      <c r="E86" s="157"/>
      <c r="F86" s="169" t="s">
        <v>46</v>
      </c>
      <c r="G86" s="170" t="s">
        <v>121</v>
      </c>
      <c r="H86" s="171"/>
      <c r="I86" s="116">
        <v>1</v>
      </c>
      <c r="J86" s="627">
        <v>1000000</v>
      </c>
      <c r="K86" s="627">
        <v>1000000</v>
      </c>
      <c r="L86" s="627">
        <v>1000000</v>
      </c>
      <c r="M86" s="125">
        <v>1000000</v>
      </c>
      <c r="N86" s="126"/>
      <c r="O86" s="126"/>
      <c r="P86" s="126"/>
      <c r="Q86" s="517"/>
      <c r="R86" s="126"/>
    </row>
    <row r="87" spans="2:21" s="113" customFormat="1" ht="30.75" hidden="1" customHeight="1" x14ac:dyDescent="0.25">
      <c r="B87" s="59"/>
      <c r="C87" s="119"/>
      <c r="D87" s="156"/>
      <c r="E87" s="157"/>
      <c r="F87" s="169" t="s">
        <v>46</v>
      </c>
      <c r="G87" s="170" t="s">
        <v>122</v>
      </c>
      <c r="H87" s="171"/>
      <c r="I87" s="116">
        <v>1</v>
      </c>
      <c r="J87" s="627">
        <v>1000000</v>
      </c>
      <c r="K87" s="627">
        <v>1000000</v>
      </c>
      <c r="L87" s="627">
        <v>1000000</v>
      </c>
      <c r="M87" s="125">
        <v>1000000</v>
      </c>
      <c r="N87" s="126"/>
      <c r="O87" s="126"/>
      <c r="P87" s="126"/>
      <c r="Q87" s="517"/>
      <c r="R87" s="126"/>
    </row>
    <row r="88" spans="2:21" s="113" customFormat="1" ht="15.75" hidden="1" customHeight="1" x14ac:dyDescent="0.25">
      <c r="B88" s="59"/>
      <c r="C88" s="119"/>
      <c r="D88" s="156"/>
      <c r="E88" s="157"/>
      <c r="F88" s="169" t="s">
        <v>46</v>
      </c>
      <c r="G88" s="170" t="s">
        <v>123</v>
      </c>
      <c r="H88" s="171"/>
      <c r="I88" s="116">
        <v>2</v>
      </c>
      <c r="J88" s="627">
        <v>1000000</v>
      </c>
      <c r="K88" s="627">
        <v>1000000</v>
      </c>
      <c r="L88" s="627">
        <v>1000000</v>
      </c>
      <c r="M88" s="125">
        <v>1000000</v>
      </c>
      <c r="N88" s="126"/>
      <c r="O88" s="126"/>
      <c r="P88" s="126"/>
      <c r="Q88" s="517"/>
      <c r="R88" s="126"/>
    </row>
    <row r="89" spans="2:21" s="113" customFormat="1" ht="15.75" hidden="1" customHeight="1" x14ac:dyDescent="0.25">
      <c r="B89" s="59"/>
      <c r="C89" s="119"/>
      <c r="D89" s="156"/>
      <c r="E89" s="157"/>
      <c r="F89" s="169" t="s">
        <v>46</v>
      </c>
      <c r="G89" s="170" t="s">
        <v>124</v>
      </c>
      <c r="H89" s="171"/>
      <c r="I89" s="116">
        <v>1</v>
      </c>
      <c r="J89" s="627">
        <v>1000000</v>
      </c>
      <c r="K89" s="627">
        <v>1000000</v>
      </c>
      <c r="L89" s="627">
        <v>1000000</v>
      </c>
      <c r="M89" s="125">
        <v>1000000</v>
      </c>
      <c r="N89" s="126"/>
      <c r="O89" s="126"/>
      <c r="P89" s="126"/>
      <c r="Q89" s="517"/>
      <c r="R89" s="126"/>
    </row>
    <row r="90" spans="2:21" s="113" customFormat="1" ht="21.75" hidden="1" customHeight="1" x14ac:dyDescent="0.25">
      <c r="B90" s="59"/>
      <c r="C90" s="39"/>
      <c r="D90" s="109"/>
      <c r="E90" s="88"/>
      <c r="F90" s="1577" t="s">
        <v>125</v>
      </c>
      <c r="G90" s="1578"/>
      <c r="H90" s="172" t="s">
        <v>126</v>
      </c>
      <c r="I90" s="110"/>
      <c r="J90" s="625">
        <v>0</v>
      </c>
      <c r="K90" s="625">
        <v>0</v>
      </c>
      <c r="L90" s="625">
        <v>0</v>
      </c>
      <c r="M90" s="111">
        <v>0</v>
      </c>
      <c r="N90" s="112"/>
      <c r="O90" s="112"/>
      <c r="P90" s="112"/>
      <c r="Q90" s="516"/>
      <c r="R90" s="112"/>
    </row>
    <row r="91" spans="2:21" s="62" customFormat="1" ht="21" customHeight="1" x14ac:dyDescent="0.25">
      <c r="B91" s="59"/>
      <c r="C91" s="39"/>
      <c r="D91" s="109"/>
      <c r="E91" s="88" t="s">
        <v>439</v>
      </c>
      <c r="F91" s="1577" t="s">
        <v>127</v>
      </c>
      <c r="G91" s="1578"/>
      <c r="H91" s="173" t="s">
        <v>128</v>
      </c>
      <c r="I91" s="134" t="s">
        <v>397</v>
      </c>
      <c r="J91" s="626">
        <f>SUM(J92:J92)</f>
        <v>10000000000</v>
      </c>
      <c r="K91" s="626">
        <f>SUM(K92:K92)</f>
        <v>10000000000</v>
      </c>
      <c r="L91" s="626">
        <f>SUM(L92:L92)</f>
        <v>10000000000</v>
      </c>
      <c r="M91" s="117">
        <f>SUM(M92:M92)</f>
        <v>10000000000</v>
      </c>
      <c r="N91" s="118"/>
      <c r="O91" s="118"/>
      <c r="P91" s="118"/>
      <c r="Q91" s="518"/>
      <c r="R91" s="118"/>
    </row>
    <row r="92" spans="2:21" s="113" customFormat="1" x14ac:dyDescent="0.25">
      <c r="B92" s="59"/>
      <c r="C92" s="127"/>
      <c r="D92" s="128"/>
      <c r="E92" s="115"/>
      <c r="F92" s="174" t="s">
        <v>46</v>
      </c>
      <c r="G92" s="175" t="s">
        <v>129</v>
      </c>
      <c r="H92" s="602"/>
      <c r="I92" s="176" t="s">
        <v>393</v>
      </c>
      <c r="J92" s="635">
        <v>10000000000</v>
      </c>
      <c r="K92" s="635">
        <v>10000000000</v>
      </c>
      <c r="L92" s="635">
        <v>10000000000</v>
      </c>
      <c r="M92" s="177">
        <v>10000000000</v>
      </c>
      <c r="N92" s="178"/>
      <c r="O92" s="178"/>
      <c r="P92" s="178"/>
      <c r="Q92" s="525"/>
      <c r="R92" s="178"/>
    </row>
    <row r="93" spans="2:21" s="62" customFormat="1" ht="19.5" customHeight="1" x14ac:dyDescent="0.25">
      <c r="B93" s="59"/>
      <c r="C93" s="39"/>
      <c r="D93" s="109"/>
      <c r="E93" s="88" t="s">
        <v>440</v>
      </c>
      <c r="F93" s="1577" t="s">
        <v>130</v>
      </c>
      <c r="G93" s="1578"/>
      <c r="H93" s="165" t="s">
        <v>131</v>
      </c>
      <c r="I93" s="134" t="s">
        <v>398</v>
      </c>
      <c r="J93" s="626">
        <f>SUM(J94:J96)</f>
        <v>12000000000</v>
      </c>
      <c r="K93" s="626">
        <f>SUM(K94:K96)</f>
        <v>13000000000</v>
      </c>
      <c r="L93" s="626">
        <f>SUM(L94:L96)</f>
        <v>12000000000</v>
      </c>
      <c r="M93" s="117">
        <f>SUM(M94:M96)</f>
        <v>13000000000</v>
      </c>
      <c r="N93" s="118"/>
      <c r="O93" s="118"/>
      <c r="P93" s="118"/>
      <c r="Q93" s="518"/>
      <c r="R93" s="118"/>
    </row>
    <row r="94" spans="2:21" s="113" customFormat="1" x14ac:dyDescent="0.25">
      <c r="B94" s="59"/>
      <c r="C94" s="127"/>
      <c r="D94" s="128"/>
      <c r="E94" s="115"/>
      <c r="F94" s="130" t="s">
        <v>46</v>
      </c>
      <c r="G94" s="180" t="s">
        <v>132</v>
      </c>
      <c r="H94" s="602"/>
      <c r="I94" s="176" t="s">
        <v>133</v>
      </c>
      <c r="J94" s="1077">
        <f>4200000000+1800000000</f>
        <v>6000000000</v>
      </c>
      <c r="K94" s="1077">
        <f>4200000000+1000000000+1800000000</f>
        <v>7000000000</v>
      </c>
      <c r="L94" s="1077">
        <f>4200000000+1800000000</f>
        <v>6000000000</v>
      </c>
      <c r="M94" s="1078">
        <f>4200000000+1000000000+1800000000</f>
        <v>7000000000</v>
      </c>
      <c r="N94" s="178"/>
      <c r="O94" s="178"/>
      <c r="P94" s="178"/>
      <c r="Q94" s="525"/>
      <c r="R94" s="178"/>
      <c r="S94" s="181"/>
      <c r="U94" s="181"/>
    </row>
    <row r="95" spans="2:21" s="192" customFormat="1" hidden="1" x14ac:dyDescent="0.25">
      <c r="B95" s="182"/>
      <c r="C95" s="183"/>
      <c r="D95" s="184"/>
      <c r="E95" s="185"/>
      <c r="F95" s="186" t="s">
        <v>46</v>
      </c>
      <c r="G95" s="187" t="s">
        <v>132</v>
      </c>
      <c r="H95" s="603"/>
      <c r="I95" s="189"/>
      <c r="J95" s="636"/>
      <c r="K95" s="636">
        <v>0</v>
      </c>
      <c r="L95" s="636">
        <v>0</v>
      </c>
      <c r="M95" s="190">
        <v>0</v>
      </c>
      <c r="N95" s="191"/>
      <c r="O95" s="191"/>
      <c r="P95" s="191"/>
      <c r="Q95" s="584" t="s">
        <v>134</v>
      </c>
      <c r="R95" s="191">
        <v>1800000000</v>
      </c>
      <c r="S95" s="193" t="s">
        <v>134</v>
      </c>
      <c r="U95" s="193"/>
    </row>
    <row r="96" spans="2:21" s="113" customFormat="1" x14ac:dyDescent="0.25">
      <c r="B96" s="59"/>
      <c r="C96" s="127"/>
      <c r="D96" s="128"/>
      <c r="E96" s="115"/>
      <c r="F96" s="130" t="s">
        <v>46</v>
      </c>
      <c r="G96" s="180" t="s">
        <v>135</v>
      </c>
      <c r="H96" s="602"/>
      <c r="I96" s="176" t="s">
        <v>133</v>
      </c>
      <c r="J96" s="635">
        <v>6000000000</v>
      </c>
      <c r="K96" s="635">
        <v>6000000000</v>
      </c>
      <c r="L96" s="635">
        <v>6000000000</v>
      </c>
      <c r="M96" s="177">
        <v>6000000000</v>
      </c>
      <c r="N96" s="178"/>
      <c r="O96" s="178"/>
      <c r="P96" s="178"/>
      <c r="Q96" s="585"/>
      <c r="R96" s="178"/>
    </row>
    <row r="97" spans="2:19" s="62" customFormat="1" ht="28.5" customHeight="1" x14ac:dyDescent="0.25">
      <c r="B97" s="59"/>
      <c r="C97" s="39"/>
      <c r="D97" s="140"/>
      <c r="E97" s="749" t="s">
        <v>441</v>
      </c>
      <c r="F97" s="1582" t="s">
        <v>136</v>
      </c>
      <c r="G97" s="1583"/>
      <c r="H97" s="469" t="s">
        <v>137</v>
      </c>
      <c r="I97" s="200" t="s">
        <v>404</v>
      </c>
      <c r="J97" s="700">
        <f>SUM(J98:J101)</f>
        <v>26300000000</v>
      </c>
      <c r="K97" s="700">
        <f>SUM(K98:K101)</f>
        <v>35300000000</v>
      </c>
      <c r="L97" s="700">
        <f>SUM(L98:L101)</f>
        <v>28000000000</v>
      </c>
      <c r="M97" s="701">
        <f>SUM(M98:M101)</f>
        <v>37000000000</v>
      </c>
      <c r="N97" s="996"/>
      <c r="O97" s="996"/>
      <c r="P97" s="118"/>
      <c r="Q97" s="586"/>
      <c r="R97" s="118"/>
    </row>
    <row r="98" spans="2:19" s="113" customFormat="1" x14ac:dyDescent="0.25">
      <c r="B98" s="726"/>
      <c r="C98" s="127"/>
      <c r="D98" s="128"/>
      <c r="E98" s="115"/>
      <c r="F98" s="130" t="s">
        <v>46</v>
      </c>
      <c r="G98" s="201" t="s">
        <v>138</v>
      </c>
      <c r="H98" s="602"/>
      <c r="I98" s="116" t="s">
        <v>109</v>
      </c>
      <c r="J98" s="635">
        <f>12500000000+500000000</f>
        <v>13000000000</v>
      </c>
      <c r="K98" s="635">
        <f>12500000000+500000000</f>
        <v>13000000000</v>
      </c>
      <c r="L98" s="635">
        <f>12500000000+500000000</f>
        <v>13000000000</v>
      </c>
      <c r="M98" s="177">
        <f>12500000000+500000000</f>
        <v>13000000000</v>
      </c>
      <c r="N98" s="178"/>
      <c r="O98" s="178"/>
      <c r="P98" s="178"/>
      <c r="Q98" s="585"/>
      <c r="R98" s="178"/>
    </row>
    <row r="99" spans="2:19" s="113" customFormat="1" ht="12.75" customHeight="1" x14ac:dyDescent="0.25">
      <c r="B99" s="726"/>
      <c r="C99" s="127"/>
      <c r="D99" s="128"/>
      <c r="E99" s="115"/>
      <c r="F99" s="130" t="s">
        <v>46</v>
      </c>
      <c r="G99" s="201" t="s">
        <v>139</v>
      </c>
      <c r="H99" s="604"/>
      <c r="I99" s="116" t="s">
        <v>159</v>
      </c>
      <c r="J99" s="1077">
        <v>5800000000</v>
      </c>
      <c r="K99" s="1077">
        <f>5800000000+9000000000</f>
        <v>14800000000</v>
      </c>
      <c r="L99" s="1077">
        <f>5800000000+1700000000</f>
        <v>7500000000</v>
      </c>
      <c r="M99" s="1078">
        <f>5800000000+1700000000+9000000000</f>
        <v>16500000000</v>
      </c>
      <c r="N99" s="997"/>
      <c r="O99" s="997"/>
      <c r="P99" s="178"/>
      <c r="Q99" s="585"/>
      <c r="R99" s="178"/>
    </row>
    <row r="100" spans="2:19" s="113" customFormat="1" ht="15" customHeight="1" x14ac:dyDescent="0.25">
      <c r="B100" s="726"/>
      <c r="C100" s="127"/>
      <c r="D100" s="128"/>
      <c r="E100" s="115"/>
      <c r="F100" s="130" t="s">
        <v>46</v>
      </c>
      <c r="G100" s="201" t="s">
        <v>140</v>
      </c>
      <c r="H100" s="602"/>
      <c r="I100" s="116" t="s">
        <v>111</v>
      </c>
      <c r="J100" s="635">
        <v>7500000000</v>
      </c>
      <c r="K100" s="635">
        <v>7500000000</v>
      </c>
      <c r="L100" s="635">
        <v>7500000000</v>
      </c>
      <c r="M100" s="177">
        <v>7500000000</v>
      </c>
      <c r="N100" s="178"/>
      <c r="O100" s="178"/>
      <c r="P100" s="178"/>
      <c r="Q100" s="585"/>
      <c r="R100" s="178"/>
    </row>
    <row r="101" spans="2:19" s="192" customFormat="1" ht="15" hidden="1" customHeight="1" x14ac:dyDescent="0.25">
      <c r="B101" s="267"/>
      <c r="C101" s="183"/>
      <c r="D101" s="184"/>
      <c r="E101" s="185"/>
      <c r="F101" s="186"/>
      <c r="G101" s="202" t="s">
        <v>138</v>
      </c>
      <c r="H101" s="603"/>
      <c r="I101" s="203"/>
      <c r="J101" s="636"/>
      <c r="K101" s="636">
        <v>0</v>
      </c>
      <c r="L101" s="636">
        <v>0</v>
      </c>
      <c r="M101" s="190">
        <v>0</v>
      </c>
      <c r="N101" s="191"/>
      <c r="O101" s="191"/>
      <c r="P101" s="191"/>
      <c r="Q101" s="587" t="s">
        <v>143</v>
      </c>
      <c r="R101" s="191">
        <v>500000000</v>
      </c>
      <c r="S101" s="192" t="s">
        <v>143</v>
      </c>
    </row>
    <row r="102" spans="2:19" s="113" customFormat="1" ht="31.5" customHeight="1" x14ac:dyDescent="0.25">
      <c r="B102" s="59"/>
      <c r="C102" s="39"/>
      <c r="D102" s="140"/>
      <c r="E102" s="749" t="s">
        <v>442</v>
      </c>
      <c r="F102" s="1582" t="s">
        <v>145</v>
      </c>
      <c r="G102" s="1583"/>
      <c r="H102" s="1123" t="s">
        <v>146</v>
      </c>
      <c r="I102" s="200" t="s">
        <v>113</v>
      </c>
      <c r="J102" s="708">
        <f>SUM(J103:J111)</f>
        <v>21200000000</v>
      </c>
      <c r="K102" s="708">
        <f>SUM(K103:K111)</f>
        <v>26200000000</v>
      </c>
      <c r="L102" s="708">
        <f>SUM(L103:L111)</f>
        <v>22200000000</v>
      </c>
      <c r="M102" s="709">
        <f>SUM(M103:M111)</f>
        <v>27200000000</v>
      </c>
      <c r="N102" s="998"/>
      <c r="O102" s="998"/>
      <c r="P102" s="112"/>
      <c r="Q102" s="585"/>
      <c r="R102" s="112"/>
    </row>
    <row r="103" spans="2:19" s="113" customFormat="1" ht="15.75" customHeight="1" x14ac:dyDescent="0.25">
      <c r="B103" s="59"/>
      <c r="C103" s="127"/>
      <c r="D103" s="128"/>
      <c r="E103" s="115"/>
      <c r="F103" s="130" t="s">
        <v>46</v>
      </c>
      <c r="G103" s="175" t="s">
        <v>147</v>
      </c>
      <c r="H103" s="602"/>
      <c r="I103" s="176" t="s">
        <v>111</v>
      </c>
      <c r="J103" s="1077">
        <v>5000000000</v>
      </c>
      <c r="K103" s="1077">
        <f>5000000000+500000000</f>
        <v>5500000000</v>
      </c>
      <c r="L103" s="1077">
        <v>5000000000</v>
      </c>
      <c r="M103" s="1078">
        <f>5000000000+500000000</f>
        <v>5500000000</v>
      </c>
      <c r="N103" s="178"/>
      <c r="O103" s="178"/>
      <c r="P103" s="178"/>
      <c r="Q103" s="585"/>
      <c r="R103" s="178"/>
    </row>
    <row r="104" spans="2:19" s="113" customFormat="1" ht="15.75" customHeight="1" x14ac:dyDescent="0.25">
      <c r="B104" s="59"/>
      <c r="C104" s="127"/>
      <c r="D104" s="128"/>
      <c r="E104" s="115"/>
      <c r="F104" s="130" t="s">
        <v>46</v>
      </c>
      <c r="G104" s="175" t="s">
        <v>149</v>
      </c>
      <c r="H104" s="602"/>
      <c r="I104" s="176" t="s">
        <v>142</v>
      </c>
      <c r="J104" s="635">
        <v>6000000000</v>
      </c>
      <c r="K104" s="635">
        <v>6000000000</v>
      </c>
      <c r="L104" s="635">
        <v>6000000000</v>
      </c>
      <c r="M104" s="177">
        <v>6000000000</v>
      </c>
      <c r="N104" s="178"/>
      <c r="O104" s="178"/>
      <c r="P104" s="178"/>
      <c r="Q104" s="585"/>
      <c r="R104" s="178"/>
    </row>
    <row r="105" spans="2:19" s="113" customFormat="1" x14ac:dyDescent="0.25">
      <c r="B105" s="59"/>
      <c r="C105" s="127"/>
      <c r="D105" s="128"/>
      <c r="E105" s="115"/>
      <c r="F105" s="174" t="s">
        <v>46</v>
      </c>
      <c r="G105" s="175" t="s">
        <v>150</v>
      </c>
      <c r="H105" s="602"/>
      <c r="I105" s="176" t="s">
        <v>399</v>
      </c>
      <c r="J105" s="635">
        <f>3000000000+3000000000</f>
        <v>6000000000</v>
      </c>
      <c r="K105" s="635">
        <f>3000000000+3000000000</f>
        <v>6000000000</v>
      </c>
      <c r="L105" s="635">
        <f>3000000000+3000000000</f>
        <v>6000000000</v>
      </c>
      <c r="M105" s="177">
        <f>3000000000+3000000000</f>
        <v>6000000000</v>
      </c>
      <c r="N105" s="178"/>
      <c r="O105" s="178"/>
      <c r="P105" s="178"/>
      <c r="Q105" s="585"/>
      <c r="R105" s="178"/>
    </row>
    <row r="106" spans="2:19" s="113" customFormat="1" ht="15.75" customHeight="1" x14ac:dyDescent="0.25">
      <c r="B106" s="703"/>
      <c r="C106" s="127"/>
      <c r="D106" s="128"/>
      <c r="E106" s="129"/>
      <c r="F106" s="706" t="s">
        <v>46</v>
      </c>
      <c r="G106" s="175" t="s">
        <v>394</v>
      </c>
      <c r="H106" s="602"/>
      <c r="I106" s="176" t="s">
        <v>174</v>
      </c>
      <c r="J106" s="1077">
        <v>1000000000</v>
      </c>
      <c r="K106" s="1077">
        <f>4500000000+1000000000</f>
        <v>5500000000</v>
      </c>
      <c r="L106" s="1077">
        <f>500000000+1000000000</f>
        <v>1500000000</v>
      </c>
      <c r="M106" s="1078">
        <f>500000000+4500000000+1000000000</f>
        <v>6000000000</v>
      </c>
      <c r="N106" s="997"/>
      <c r="O106" s="997"/>
      <c r="P106" s="178"/>
      <c r="Q106" s="585"/>
      <c r="R106" s="178"/>
    </row>
    <row r="107" spans="2:19" s="113" customFormat="1" ht="15.75" customHeight="1" x14ac:dyDescent="0.25">
      <c r="B107" s="703"/>
      <c r="C107" s="127"/>
      <c r="D107" s="128"/>
      <c r="E107" s="129"/>
      <c r="F107" s="706" t="s">
        <v>46</v>
      </c>
      <c r="G107" s="175" t="s">
        <v>484</v>
      </c>
      <c r="H107" s="602"/>
      <c r="I107" s="176" t="s">
        <v>399</v>
      </c>
      <c r="J107" s="635">
        <v>3200000000</v>
      </c>
      <c r="K107" s="635">
        <v>3200000000</v>
      </c>
      <c r="L107" s="1018">
        <f>500000000+3200000000</f>
        <v>3700000000</v>
      </c>
      <c r="M107" s="702">
        <f>500000000+3200000000</f>
        <v>3700000000</v>
      </c>
      <c r="N107" s="997"/>
      <c r="O107" s="997"/>
      <c r="P107" s="178"/>
      <c r="Q107" s="585"/>
      <c r="R107" s="178"/>
    </row>
    <row r="108" spans="2:19" s="192" customFormat="1" ht="15.75" hidden="1" customHeight="1" x14ac:dyDescent="0.25">
      <c r="B108" s="182"/>
      <c r="C108" s="183"/>
      <c r="D108" s="184"/>
      <c r="E108" s="206"/>
      <c r="F108" s="207" t="s">
        <v>46</v>
      </c>
      <c r="G108" s="208" t="s">
        <v>394</v>
      </c>
      <c r="H108" s="603"/>
      <c r="I108" s="189" t="s">
        <v>174</v>
      </c>
      <c r="J108" s="636">
        <v>0</v>
      </c>
      <c r="K108" s="636">
        <v>0</v>
      </c>
      <c r="L108" s="636">
        <v>0</v>
      </c>
      <c r="M108" s="190">
        <v>0</v>
      </c>
      <c r="N108" s="191"/>
      <c r="O108" s="191"/>
      <c r="P108" s="191"/>
      <c r="Q108" s="587" t="s">
        <v>151</v>
      </c>
      <c r="R108" s="191">
        <v>1000000000</v>
      </c>
      <c r="S108" s="192" t="s">
        <v>151</v>
      </c>
    </row>
    <row r="109" spans="2:19" s="192" customFormat="1" ht="15.75" hidden="1" customHeight="1" x14ac:dyDescent="0.25">
      <c r="B109" s="182"/>
      <c r="C109" s="183"/>
      <c r="D109" s="184"/>
      <c r="E109" s="206"/>
      <c r="F109" s="207" t="s">
        <v>46</v>
      </c>
      <c r="G109" s="208" t="s">
        <v>152</v>
      </c>
      <c r="H109" s="603"/>
      <c r="I109" s="189" t="s">
        <v>399</v>
      </c>
      <c r="J109" s="636"/>
      <c r="K109" s="636"/>
      <c r="L109" s="636"/>
      <c r="M109" s="190"/>
      <c r="N109" s="191"/>
      <c r="O109" s="191"/>
      <c r="P109" s="191"/>
      <c r="Q109" s="587" t="s">
        <v>151</v>
      </c>
      <c r="R109" s="191">
        <v>1000000000</v>
      </c>
      <c r="S109" s="192" t="s">
        <v>151</v>
      </c>
    </row>
    <row r="110" spans="2:19" s="192" customFormat="1" ht="15.75" hidden="1" customHeight="1" x14ac:dyDescent="0.25">
      <c r="B110" s="182"/>
      <c r="C110" s="183"/>
      <c r="D110" s="184"/>
      <c r="E110" s="206"/>
      <c r="F110" s="207" t="s">
        <v>46</v>
      </c>
      <c r="G110" s="208" t="s">
        <v>152</v>
      </c>
      <c r="H110" s="603"/>
      <c r="I110" s="189" t="s">
        <v>399</v>
      </c>
      <c r="J110" s="636"/>
      <c r="K110" s="636"/>
      <c r="L110" s="636"/>
      <c r="M110" s="190"/>
      <c r="N110" s="191"/>
      <c r="O110" s="191"/>
      <c r="P110" s="191"/>
      <c r="Q110" s="587" t="s">
        <v>425</v>
      </c>
      <c r="R110" s="191">
        <v>2000000000</v>
      </c>
      <c r="S110" s="192" t="s">
        <v>425</v>
      </c>
    </row>
    <row r="111" spans="2:19" s="192" customFormat="1" ht="15.75" hidden="1" customHeight="1" x14ac:dyDescent="0.25">
      <c r="B111" s="182"/>
      <c r="C111" s="183"/>
      <c r="D111" s="184"/>
      <c r="E111" s="206"/>
      <c r="F111" s="207" t="s">
        <v>46</v>
      </c>
      <c r="G111" s="208" t="s">
        <v>153</v>
      </c>
      <c r="H111" s="603"/>
      <c r="I111" s="189" t="s">
        <v>399</v>
      </c>
      <c r="J111" s="636"/>
      <c r="K111" s="636"/>
      <c r="L111" s="636"/>
      <c r="M111" s="190"/>
      <c r="N111" s="191"/>
      <c r="O111" s="191"/>
      <c r="P111" s="191"/>
      <c r="Q111" s="587" t="s">
        <v>154</v>
      </c>
      <c r="R111" s="191">
        <v>3200000000</v>
      </c>
      <c r="S111" s="192" t="s">
        <v>154</v>
      </c>
    </row>
    <row r="112" spans="2:19" s="62" customFormat="1" ht="26.25" customHeight="1" x14ac:dyDescent="0.25">
      <c r="B112" s="59"/>
      <c r="C112" s="39"/>
      <c r="D112" s="109"/>
      <c r="E112" s="88" t="s">
        <v>443</v>
      </c>
      <c r="F112" s="1579" t="s">
        <v>155</v>
      </c>
      <c r="G112" s="1580"/>
      <c r="H112" s="173" t="s">
        <v>156</v>
      </c>
      <c r="I112" s="200" t="s">
        <v>141</v>
      </c>
      <c r="J112" s="626">
        <f>SUM(J113:J114)</f>
        <v>13500000000</v>
      </c>
      <c r="K112" s="626">
        <f>SUM(K113:K114)</f>
        <v>13500000000</v>
      </c>
      <c r="L112" s="626">
        <f>SUM(L113:L114)</f>
        <v>13500000000</v>
      </c>
      <c r="M112" s="117">
        <f>SUM(M113:M114)</f>
        <v>13500000000</v>
      </c>
      <c r="N112" s="118"/>
      <c r="O112" s="118"/>
      <c r="P112" s="118"/>
      <c r="Q112" s="586"/>
      <c r="R112" s="118"/>
    </row>
    <row r="113" spans="2:19" s="113" customFormat="1" ht="13.5" customHeight="1" x14ac:dyDescent="0.25">
      <c r="B113" s="59"/>
      <c r="C113" s="127"/>
      <c r="D113" s="128"/>
      <c r="E113" s="115"/>
      <c r="F113" s="174" t="s">
        <v>46</v>
      </c>
      <c r="G113" s="175" t="s">
        <v>157</v>
      </c>
      <c r="H113" s="602"/>
      <c r="I113" s="116" t="s">
        <v>111</v>
      </c>
      <c r="J113" s="635">
        <v>7500000000</v>
      </c>
      <c r="K113" s="635">
        <v>7500000000</v>
      </c>
      <c r="L113" s="635">
        <v>7500000000</v>
      </c>
      <c r="M113" s="177">
        <v>7500000000</v>
      </c>
      <c r="N113" s="178"/>
      <c r="O113" s="178"/>
      <c r="P113" s="178"/>
      <c r="Q113" s="585"/>
      <c r="R113" s="178"/>
    </row>
    <row r="114" spans="2:19" s="133" customFormat="1" x14ac:dyDescent="0.25">
      <c r="B114" s="59"/>
      <c r="C114" s="194"/>
      <c r="D114" s="195"/>
      <c r="E114" s="204"/>
      <c r="F114" s="196" t="s">
        <v>46</v>
      </c>
      <c r="G114" s="209" t="s">
        <v>158</v>
      </c>
      <c r="H114" s="605"/>
      <c r="I114" s="205" t="s">
        <v>111</v>
      </c>
      <c r="J114" s="637">
        <v>6000000000</v>
      </c>
      <c r="K114" s="637">
        <v>6000000000</v>
      </c>
      <c r="L114" s="637">
        <v>6000000000</v>
      </c>
      <c r="M114" s="198">
        <v>6000000000</v>
      </c>
      <c r="N114" s="199"/>
      <c r="O114" s="199"/>
      <c r="P114" s="199"/>
      <c r="Q114" s="588"/>
      <c r="R114" s="199"/>
    </row>
    <row r="115" spans="2:19" s="62" customFormat="1" ht="24.75" customHeight="1" x14ac:dyDescent="0.25">
      <c r="B115" s="59"/>
      <c r="C115" s="39"/>
      <c r="D115" s="109"/>
      <c r="E115" s="88" t="s">
        <v>444</v>
      </c>
      <c r="F115" s="1577" t="s">
        <v>160</v>
      </c>
      <c r="G115" s="1578"/>
      <c r="H115" s="165" t="s">
        <v>161</v>
      </c>
      <c r="I115" s="200" t="s">
        <v>400</v>
      </c>
      <c r="J115" s="630">
        <f>SUM(J116:J119)</f>
        <v>14450000000</v>
      </c>
      <c r="K115" s="630">
        <f>SUM(K116:K119)</f>
        <v>14450000000</v>
      </c>
      <c r="L115" s="630">
        <f>SUM(L116:L119)</f>
        <v>14450000000</v>
      </c>
      <c r="M115" s="146">
        <f>SUM(M116:M119)</f>
        <v>14450000000</v>
      </c>
      <c r="N115" s="147"/>
      <c r="O115" s="147"/>
      <c r="P115" s="147"/>
      <c r="Q115" s="586"/>
      <c r="R115" s="118"/>
    </row>
    <row r="116" spans="2:19" s="113" customFormat="1" ht="15.75" customHeight="1" x14ac:dyDescent="0.25">
      <c r="B116" s="59"/>
      <c r="C116" s="127"/>
      <c r="D116" s="128"/>
      <c r="E116" s="448"/>
      <c r="F116" s="174" t="s">
        <v>46</v>
      </c>
      <c r="G116" s="139" t="s">
        <v>162</v>
      </c>
      <c r="H116" s="602"/>
      <c r="I116" s="176" t="s">
        <v>148</v>
      </c>
      <c r="J116" s="635">
        <f>7500000000+450000000</f>
        <v>7950000000</v>
      </c>
      <c r="K116" s="635">
        <f>7500000000+450000000</f>
        <v>7950000000</v>
      </c>
      <c r="L116" s="635">
        <f>7500000000+450000000</f>
        <v>7950000000</v>
      </c>
      <c r="M116" s="177">
        <f>7500000000+450000000</f>
        <v>7950000000</v>
      </c>
      <c r="N116" s="178"/>
      <c r="O116" s="178"/>
      <c r="P116" s="178"/>
      <c r="Q116" s="585"/>
      <c r="R116" s="178"/>
    </row>
    <row r="117" spans="2:19" s="113" customFormat="1" ht="15.75" customHeight="1" x14ac:dyDescent="0.25">
      <c r="B117" s="59"/>
      <c r="C117" s="127"/>
      <c r="D117" s="128"/>
      <c r="E117" s="115"/>
      <c r="F117" s="174" t="s">
        <v>46</v>
      </c>
      <c r="G117" s="139" t="s">
        <v>163</v>
      </c>
      <c r="H117" s="602"/>
      <c r="I117" s="176" t="s">
        <v>111</v>
      </c>
      <c r="J117" s="635">
        <v>3000000000</v>
      </c>
      <c r="K117" s="635">
        <v>3000000000</v>
      </c>
      <c r="L117" s="635">
        <v>3000000000</v>
      </c>
      <c r="M117" s="177">
        <v>3000000000</v>
      </c>
      <c r="N117" s="178"/>
      <c r="O117" s="178"/>
      <c r="P117" s="178"/>
      <c r="Q117" s="585"/>
      <c r="R117" s="178"/>
    </row>
    <row r="118" spans="2:19" s="133" customFormat="1" ht="27" customHeight="1" x14ac:dyDescent="0.25">
      <c r="B118" s="59"/>
      <c r="C118" s="194"/>
      <c r="D118" s="195"/>
      <c r="E118" s="937"/>
      <c r="F118" s="1134" t="s">
        <v>46</v>
      </c>
      <c r="G118" s="211" t="s">
        <v>164</v>
      </c>
      <c r="H118" s="1135"/>
      <c r="I118" s="197" t="s">
        <v>165</v>
      </c>
      <c r="J118" s="637">
        <v>3500000000</v>
      </c>
      <c r="K118" s="637">
        <v>3500000000</v>
      </c>
      <c r="L118" s="637">
        <v>3500000000</v>
      </c>
      <c r="M118" s="198">
        <v>3500000000</v>
      </c>
      <c r="N118" s="199"/>
      <c r="O118" s="199"/>
      <c r="P118" s="199"/>
      <c r="Q118" s="588"/>
      <c r="R118" s="199"/>
    </row>
    <row r="119" spans="2:19" s="192" customFormat="1" ht="18" hidden="1" customHeight="1" x14ac:dyDescent="0.25">
      <c r="B119" s="182"/>
      <c r="C119" s="183"/>
      <c r="D119" s="184"/>
      <c r="E119" s="1136"/>
      <c r="F119" s="1137"/>
      <c r="G119" s="213" t="s">
        <v>162</v>
      </c>
      <c r="H119" s="606"/>
      <c r="I119" s="189" t="s">
        <v>395</v>
      </c>
      <c r="J119" s="636"/>
      <c r="K119" s="636"/>
      <c r="L119" s="636"/>
      <c r="M119" s="190"/>
      <c r="N119" s="191"/>
      <c r="O119" s="191"/>
      <c r="P119" s="191"/>
      <c r="Q119" s="587" t="s">
        <v>166</v>
      </c>
      <c r="R119" s="191">
        <v>450000000</v>
      </c>
      <c r="S119" s="192" t="s">
        <v>166</v>
      </c>
    </row>
    <row r="120" spans="2:19" s="62" customFormat="1" ht="27" customHeight="1" x14ac:dyDescent="0.25">
      <c r="B120" s="59"/>
      <c r="C120" s="39"/>
      <c r="D120" s="140"/>
      <c r="E120" s="749" t="s">
        <v>445</v>
      </c>
      <c r="F120" s="1582" t="s">
        <v>167</v>
      </c>
      <c r="G120" s="1583"/>
      <c r="H120" s="469" t="s">
        <v>168</v>
      </c>
      <c r="I120" s="756" t="s">
        <v>405</v>
      </c>
      <c r="J120" s="711">
        <f>SUM(J121:J125)</f>
        <v>11065000000</v>
      </c>
      <c r="K120" s="711">
        <f>SUM(K121:K125)</f>
        <v>11065000000</v>
      </c>
      <c r="L120" s="711">
        <f>SUM(L121:L125)</f>
        <v>11565000000</v>
      </c>
      <c r="M120" s="712">
        <f>SUM(M121:M125)</f>
        <v>11565000000</v>
      </c>
      <c r="N120" s="999"/>
      <c r="O120" s="999"/>
      <c r="P120" s="147"/>
      <c r="Q120" s="589"/>
      <c r="R120" s="118"/>
      <c r="S120" s="179"/>
    </row>
    <row r="121" spans="2:19" s="113" customFormat="1" x14ac:dyDescent="0.25">
      <c r="B121" s="59"/>
      <c r="C121" s="127"/>
      <c r="D121" s="128"/>
      <c r="E121" s="115"/>
      <c r="F121" s="174" t="s">
        <v>46</v>
      </c>
      <c r="G121" s="175" t="s">
        <v>150</v>
      </c>
      <c r="H121" s="602"/>
      <c r="I121" s="116" t="s">
        <v>159</v>
      </c>
      <c r="J121" s="635">
        <f>4000000000+215000000</f>
        <v>4215000000</v>
      </c>
      <c r="K121" s="635">
        <f>4000000000+215000000</f>
        <v>4215000000</v>
      </c>
      <c r="L121" s="635">
        <f>4000000000+215000000</f>
        <v>4215000000</v>
      </c>
      <c r="M121" s="177">
        <f>4000000000+215000000</f>
        <v>4215000000</v>
      </c>
      <c r="N121" s="178"/>
      <c r="O121" s="178"/>
      <c r="P121" s="178"/>
      <c r="Q121" s="585"/>
      <c r="R121" s="178"/>
    </row>
    <row r="122" spans="2:19" s="113" customFormat="1" x14ac:dyDescent="0.25">
      <c r="B122" s="59"/>
      <c r="C122" s="127"/>
      <c r="D122" s="128"/>
      <c r="E122" s="115"/>
      <c r="F122" s="174" t="s">
        <v>46</v>
      </c>
      <c r="G122" s="175" t="s">
        <v>525</v>
      </c>
      <c r="H122" s="602"/>
      <c r="I122" s="116" t="s">
        <v>148</v>
      </c>
      <c r="J122" s="635">
        <v>6000000000</v>
      </c>
      <c r="K122" s="635">
        <v>6000000000</v>
      </c>
      <c r="L122" s="635">
        <v>6000000000</v>
      </c>
      <c r="M122" s="177">
        <v>6000000000</v>
      </c>
      <c r="N122" s="178"/>
      <c r="O122" s="178"/>
      <c r="P122" s="178"/>
      <c r="Q122" s="585"/>
      <c r="R122" s="178"/>
    </row>
    <row r="123" spans="2:19" s="113" customFormat="1" ht="15.75" customHeight="1" x14ac:dyDescent="0.25">
      <c r="B123" s="703"/>
      <c r="C123" s="127"/>
      <c r="D123" s="128"/>
      <c r="E123" s="129"/>
      <c r="F123" s="704" t="s">
        <v>46</v>
      </c>
      <c r="G123" s="175" t="s">
        <v>170</v>
      </c>
      <c r="H123" s="602"/>
      <c r="I123" s="705" t="s">
        <v>401</v>
      </c>
      <c r="J123" s="635">
        <v>850000000</v>
      </c>
      <c r="K123" s="635">
        <v>850000000</v>
      </c>
      <c r="L123" s="1018">
        <f>500000000+850000000</f>
        <v>1350000000</v>
      </c>
      <c r="M123" s="702">
        <f>500000000+850000000</f>
        <v>1350000000</v>
      </c>
      <c r="N123" s="997"/>
      <c r="O123" s="997"/>
      <c r="P123" s="178"/>
      <c r="Q123" s="585"/>
      <c r="R123" s="178"/>
    </row>
    <row r="124" spans="2:19" s="192" customFormat="1" ht="15.75" hidden="1" customHeight="1" x14ac:dyDescent="0.25">
      <c r="B124" s="182"/>
      <c r="C124" s="183"/>
      <c r="D124" s="184"/>
      <c r="E124" s="206"/>
      <c r="F124" s="212" t="s">
        <v>46</v>
      </c>
      <c r="G124" s="208" t="s">
        <v>170</v>
      </c>
      <c r="H124" s="603"/>
      <c r="I124" s="214" t="s">
        <v>401</v>
      </c>
      <c r="J124" s="636"/>
      <c r="K124" s="636"/>
      <c r="L124" s="636"/>
      <c r="M124" s="190"/>
      <c r="N124" s="191"/>
      <c r="O124" s="191"/>
      <c r="P124" s="191"/>
      <c r="Q124" s="587" t="s">
        <v>134</v>
      </c>
      <c r="R124" s="191">
        <v>850000000</v>
      </c>
      <c r="S124" s="192" t="s">
        <v>134</v>
      </c>
    </row>
    <row r="125" spans="2:19" s="192" customFormat="1" ht="15.75" hidden="1" customHeight="1" x14ac:dyDescent="0.25">
      <c r="B125" s="182"/>
      <c r="C125" s="183"/>
      <c r="D125" s="184"/>
      <c r="E125" s="206"/>
      <c r="F125" s="212" t="s">
        <v>46</v>
      </c>
      <c r="G125" s="208" t="s">
        <v>150</v>
      </c>
      <c r="H125" s="603"/>
      <c r="I125" s="215" t="s">
        <v>402</v>
      </c>
      <c r="J125" s="636"/>
      <c r="K125" s="636"/>
      <c r="L125" s="636"/>
      <c r="M125" s="190"/>
      <c r="N125" s="191"/>
      <c r="O125" s="191"/>
      <c r="P125" s="191"/>
      <c r="Q125" s="587" t="s">
        <v>171</v>
      </c>
      <c r="R125" s="191">
        <v>215000000</v>
      </c>
      <c r="S125" s="192" t="s">
        <v>171</v>
      </c>
    </row>
    <row r="126" spans="2:19" s="62" customFormat="1" ht="31.5" customHeight="1" x14ac:dyDescent="0.25">
      <c r="B126" s="59"/>
      <c r="C126" s="39"/>
      <c r="D126" s="109"/>
      <c r="E126" s="88" t="s">
        <v>446</v>
      </c>
      <c r="F126" s="1577" t="s">
        <v>172</v>
      </c>
      <c r="G126" s="1578"/>
      <c r="H126" s="173" t="s">
        <v>173</v>
      </c>
      <c r="I126" s="200" t="str">
        <f>I127</f>
        <v>0,5 Km</v>
      </c>
      <c r="J126" s="630">
        <f>J127</f>
        <v>3000000000</v>
      </c>
      <c r="K126" s="630">
        <f>K127</f>
        <v>9000000000</v>
      </c>
      <c r="L126" s="630">
        <f>L127</f>
        <v>3000000000</v>
      </c>
      <c r="M126" s="146">
        <f>M127</f>
        <v>9000000000</v>
      </c>
      <c r="N126" s="147"/>
      <c r="O126" s="147"/>
      <c r="P126" s="147"/>
      <c r="Q126" s="586"/>
      <c r="R126" s="118"/>
    </row>
    <row r="127" spans="2:19" s="113" customFormat="1" x14ac:dyDescent="0.25">
      <c r="B127" s="59"/>
      <c r="C127" s="127"/>
      <c r="D127" s="128"/>
      <c r="E127" s="115"/>
      <c r="F127" s="130" t="s">
        <v>46</v>
      </c>
      <c r="G127" s="175" t="s">
        <v>175</v>
      </c>
      <c r="H127" s="602"/>
      <c r="I127" s="176" t="s">
        <v>144</v>
      </c>
      <c r="J127" s="1075">
        <v>3000000000</v>
      </c>
      <c r="K127" s="1075">
        <f>3000000000+6000000000</f>
        <v>9000000000</v>
      </c>
      <c r="L127" s="1075">
        <v>3000000000</v>
      </c>
      <c r="M127" s="1076">
        <f>3000000000+6000000000</f>
        <v>9000000000</v>
      </c>
      <c r="N127" s="126"/>
      <c r="O127" s="126"/>
      <c r="P127" s="126"/>
      <c r="Q127" s="585"/>
      <c r="R127" s="126"/>
    </row>
    <row r="128" spans="2:19" s="113" customFormat="1" ht="29.25" customHeight="1" x14ac:dyDescent="0.25">
      <c r="B128" s="59"/>
      <c r="C128" s="39"/>
      <c r="D128" s="109"/>
      <c r="E128" s="88" t="s">
        <v>447</v>
      </c>
      <c r="F128" s="1577" t="s">
        <v>176</v>
      </c>
      <c r="G128" s="1578"/>
      <c r="H128" s="173" t="s">
        <v>177</v>
      </c>
      <c r="I128" s="200" t="str">
        <f>I129</f>
        <v>0,9 Km</v>
      </c>
      <c r="J128" s="625">
        <f>SUM(J129)</f>
        <v>5000000000</v>
      </c>
      <c r="K128" s="625">
        <f>SUM(K129)</f>
        <v>5000000000</v>
      </c>
      <c r="L128" s="625">
        <f>SUM(L129)</f>
        <v>5000000000</v>
      </c>
      <c r="M128" s="111">
        <f>SUM(M129)</f>
        <v>5000000000</v>
      </c>
      <c r="N128" s="112"/>
      <c r="O128" s="112"/>
      <c r="P128" s="112"/>
      <c r="Q128" s="585"/>
      <c r="R128" s="112"/>
    </row>
    <row r="129" spans="2:21" s="113" customFormat="1" ht="15.75" customHeight="1" x14ac:dyDescent="0.25">
      <c r="B129" s="59"/>
      <c r="C129" s="127"/>
      <c r="D129" s="128"/>
      <c r="E129" s="216"/>
      <c r="F129" s="130" t="s">
        <v>46</v>
      </c>
      <c r="G129" s="175" t="s">
        <v>178</v>
      </c>
      <c r="H129" s="602"/>
      <c r="I129" s="217" t="s">
        <v>396</v>
      </c>
      <c r="J129" s="638">
        <v>5000000000</v>
      </c>
      <c r="K129" s="638">
        <v>5000000000</v>
      </c>
      <c r="L129" s="638">
        <v>5000000000</v>
      </c>
      <c r="M129" s="218">
        <v>5000000000</v>
      </c>
      <c r="N129" s="219"/>
      <c r="O129" s="219"/>
      <c r="P129" s="219"/>
      <c r="Q129" s="585"/>
      <c r="R129" s="493"/>
    </row>
    <row r="130" spans="2:21" s="113" customFormat="1" ht="24" customHeight="1" x14ac:dyDescent="0.25">
      <c r="B130" s="59"/>
      <c r="C130" s="39"/>
      <c r="D130" s="109"/>
      <c r="E130" s="88" t="s">
        <v>389</v>
      </c>
      <c r="F130" s="1577" t="s">
        <v>179</v>
      </c>
      <c r="G130" s="1578"/>
      <c r="H130" s="173" t="s">
        <v>180</v>
      </c>
      <c r="I130" s="200" t="str">
        <f>I131</f>
        <v>1,1 Km</v>
      </c>
      <c r="J130" s="625">
        <f>SUM(J131)</f>
        <v>12000000000</v>
      </c>
      <c r="K130" s="625">
        <f>SUM(K131)</f>
        <v>12000000000</v>
      </c>
      <c r="L130" s="625">
        <f>SUM(L131)</f>
        <v>12000000000</v>
      </c>
      <c r="M130" s="111">
        <f>SUM(M131)</f>
        <v>12000000000</v>
      </c>
      <c r="N130" s="112"/>
      <c r="O130" s="112"/>
      <c r="P130" s="112"/>
      <c r="Q130" s="585"/>
      <c r="R130" s="112"/>
    </row>
    <row r="131" spans="2:21" s="113" customFormat="1" ht="13.5" customHeight="1" x14ac:dyDescent="0.25">
      <c r="B131" s="59"/>
      <c r="C131" s="127"/>
      <c r="D131" s="128"/>
      <c r="E131" s="115"/>
      <c r="F131" s="130" t="s">
        <v>46</v>
      </c>
      <c r="G131" s="220" t="s">
        <v>468</v>
      </c>
      <c r="H131" s="602"/>
      <c r="I131" s="176" t="s">
        <v>406</v>
      </c>
      <c r="J131" s="635">
        <v>12000000000</v>
      </c>
      <c r="K131" s="635">
        <v>12000000000</v>
      </c>
      <c r="L131" s="635">
        <v>12000000000</v>
      </c>
      <c r="M131" s="177">
        <v>12000000000</v>
      </c>
      <c r="N131" s="178"/>
      <c r="O131" s="178"/>
      <c r="P131" s="178"/>
      <c r="Q131" s="585"/>
      <c r="R131" s="178"/>
    </row>
    <row r="132" spans="2:21" s="62" customFormat="1" ht="27.75" customHeight="1" x14ac:dyDescent="0.25">
      <c r="B132" s="59"/>
      <c r="C132" s="39"/>
      <c r="D132" s="109"/>
      <c r="E132" s="88" t="s">
        <v>448</v>
      </c>
      <c r="F132" s="1577" t="s">
        <v>181</v>
      </c>
      <c r="G132" s="1578"/>
      <c r="H132" s="173" t="s">
        <v>182</v>
      </c>
      <c r="I132" s="200" t="s">
        <v>462</v>
      </c>
      <c r="J132" s="626">
        <f>SUM(J133:J136)</f>
        <v>8700000000</v>
      </c>
      <c r="K132" s="626">
        <f>SUM(K133:K136)</f>
        <v>8700000000</v>
      </c>
      <c r="L132" s="626">
        <f>SUM(L133:L136)</f>
        <v>8700000000</v>
      </c>
      <c r="M132" s="117">
        <f>SUM(M133:M136)</f>
        <v>8700000000</v>
      </c>
      <c r="N132" s="118"/>
      <c r="O132" s="118"/>
      <c r="P132" s="118"/>
      <c r="Q132" s="589"/>
      <c r="R132" s="118"/>
      <c r="S132" s="179"/>
    </row>
    <row r="133" spans="2:21" s="113" customFormat="1" x14ac:dyDescent="0.25">
      <c r="B133" s="59"/>
      <c r="C133" s="127"/>
      <c r="D133" s="128"/>
      <c r="E133" s="115"/>
      <c r="F133" s="174" t="s">
        <v>46</v>
      </c>
      <c r="G133" s="175" t="s">
        <v>424</v>
      </c>
      <c r="H133" s="602"/>
      <c r="I133" s="176" t="s">
        <v>451</v>
      </c>
      <c r="J133" s="635">
        <v>3000000000</v>
      </c>
      <c r="K133" s="635">
        <v>3000000000</v>
      </c>
      <c r="L133" s="635">
        <v>3000000000</v>
      </c>
      <c r="M133" s="177">
        <v>3000000000</v>
      </c>
      <c r="N133" s="178"/>
      <c r="O133" s="178"/>
      <c r="P133" s="178"/>
      <c r="Q133" s="585"/>
      <c r="R133" s="178"/>
    </row>
    <row r="134" spans="2:21" s="113" customFormat="1" x14ac:dyDescent="0.25">
      <c r="B134" s="59"/>
      <c r="C134" s="127"/>
      <c r="D134" s="128"/>
      <c r="E134" s="115"/>
      <c r="F134" s="174" t="s">
        <v>46</v>
      </c>
      <c r="G134" s="175" t="s">
        <v>183</v>
      </c>
      <c r="H134" s="602"/>
      <c r="I134" s="483" t="s">
        <v>395</v>
      </c>
      <c r="J134" s="635">
        <f>500000000+4000000000+1200000000</f>
        <v>5700000000</v>
      </c>
      <c r="K134" s="635">
        <f>500000000+4000000000+1200000000</f>
        <v>5700000000</v>
      </c>
      <c r="L134" s="635">
        <f>500000000+4000000000+1200000000</f>
        <v>5700000000</v>
      </c>
      <c r="M134" s="177">
        <f>500000000+4000000000+1200000000</f>
        <v>5700000000</v>
      </c>
      <c r="N134" s="178"/>
      <c r="O134" s="178"/>
      <c r="P134" s="178"/>
      <c r="Q134" s="585"/>
      <c r="R134" s="178"/>
    </row>
    <row r="135" spans="2:21" s="192" customFormat="1" hidden="1" x14ac:dyDescent="0.25">
      <c r="B135" s="59"/>
      <c r="C135" s="183"/>
      <c r="D135" s="184"/>
      <c r="E135" s="206"/>
      <c r="F135" s="221" t="s">
        <v>46</v>
      </c>
      <c r="G135" s="208" t="s">
        <v>183</v>
      </c>
      <c r="H135" s="603"/>
      <c r="I135" s="203" t="s">
        <v>159</v>
      </c>
      <c r="J135" s="636"/>
      <c r="K135" s="636"/>
      <c r="L135" s="636"/>
      <c r="M135" s="190"/>
      <c r="N135" s="191"/>
      <c r="O135" s="191"/>
      <c r="P135" s="191"/>
      <c r="Q135" s="587" t="s">
        <v>184</v>
      </c>
      <c r="R135" s="191">
        <v>4000000000</v>
      </c>
      <c r="S135" s="192" t="s">
        <v>184</v>
      </c>
    </row>
    <row r="136" spans="2:21" s="192" customFormat="1" hidden="1" x14ac:dyDescent="0.25">
      <c r="B136" s="182"/>
      <c r="C136" s="183"/>
      <c r="D136" s="184"/>
      <c r="E136" s="222"/>
      <c r="F136" s="223" t="s">
        <v>46</v>
      </c>
      <c r="G136" s="208" t="s">
        <v>183</v>
      </c>
      <c r="H136" s="606"/>
      <c r="I136" s="478" t="s">
        <v>174</v>
      </c>
      <c r="J136" s="636"/>
      <c r="K136" s="636"/>
      <c r="L136" s="636"/>
      <c r="M136" s="190"/>
      <c r="N136" s="191"/>
      <c r="O136" s="191"/>
      <c r="P136" s="191"/>
      <c r="Q136" s="587" t="s">
        <v>185</v>
      </c>
      <c r="R136" s="191">
        <v>1200000000</v>
      </c>
      <c r="S136" s="192" t="s">
        <v>185</v>
      </c>
    </row>
    <row r="137" spans="2:21" s="29" customFormat="1" ht="26.25" customHeight="1" x14ac:dyDescent="0.25">
      <c r="B137" s="13"/>
      <c r="C137" s="39"/>
      <c r="D137" s="109"/>
      <c r="E137" s="88" t="s">
        <v>449</v>
      </c>
      <c r="F137" s="1579" t="s">
        <v>186</v>
      </c>
      <c r="G137" s="1580"/>
      <c r="H137" s="173" t="s">
        <v>187</v>
      </c>
      <c r="I137" s="224" t="s">
        <v>463</v>
      </c>
      <c r="J137" s="630">
        <f>SUM(J138:J141)</f>
        <v>11500000000</v>
      </c>
      <c r="K137" s="630">
        <f>SUM(K138:K141)</f>
        <v>11500000000</v>
      </c>
      <c r="L137" s="630">
        <f>SUM(L138:L141)</f>
        <v>11500000000</v>
      </c>
      <c r="M137" s="146">
        <f>SUM(M138:M141)</f>
        <v>11500000000</v>
      </c>
      <c r="N137" s="147"/>
      <c r="O137" s="147"/>
      <c r="P137" s="147"/>
      <c r="Q137" s="590"/>
      <c r="R137" s="118"/>
    </row>
    <row r="138" spans="2:21" s="113" customFormat="1" ht="15.75" customHeight="1" x14ac:dyDescent="0.25">
      <c r="B138" s="59"/>
      <c r="C138" s="127"/>
      <c r="D138" s="128"/>
      <c r="E138" s="115"/>
      <c r="F138" s="225" t="s">
        <v>46</v>
      </c>
      <c r="G138" s="139" t="s">
        <v>423</v>
      </c>
      <c r="H138" s="602"/>
      <c r="I138" s="176" t="s">
        <v>111</v>
      </c>
      <c r="J138" s="639">
        <f>2000000000+1000000000+1000000000</f>
        <v>4000000000</v>
      </c>
      <c r="K138" s="639">
        <f>2000000000+1000000000+1000000000</f>
        <v>4000000000</v>
      </c>
      <c r="L138" s="639">
        <f>2000000000+1000000000+1000000000</f>
        <v>4000000000</v>
      </c>
      <c r="M138" s="226">
        <f>2000000000+1000000000+1000000000</f>
        <v>4000000000</v>
      </c>
      <c r="N138" s="227"/>
      <c r="O138" s="227"/>
      <c r="P138" s="227"/>
      <c r="Q138" s="585"/>
      <c r="R138" s="126"/>
    </row>
    <row r="139" spans="2:21" s="113" customFormat="1" ht="15" customHeight="1" x14ac:dyDescent="0.25">
      <c r="B139" s="59"/>
      <c r="C139" s="127"/>
      <c r="D139" s="128"/>
      <c r="E139" s="115"/>
      <c r="F139" s="130" t="s">
        <v>46</v>
      </c>
      <c r="G139" s="201" t="s">
        <v>140</v>
      </c>
      <c r="H139" s="602"/>
      <c r="I139" s="116" t="s">
        <v>141</v>
      </c>
      <c r="J139" s="635">
        <v>7500000000</v>
      </c>
      <c r="K139" s="635">
        <v>7500000000</v>
      </c>
      <c r="L139" s="635">
        <v>7500000000</v>
      </c>
      <c r="M139" s="177">
        <v>7500000000</v>
      </c>
      <c r="N139" s="178"/>
      <c r="O139" s="178"/>
      <c r="P139" s="178"/>
      <c r="Q139" s="585"/>
      <c r="R139" s="178"/>
    </row>
    <row r="140" spans="2:21" s="192" customFormat="1" ht="15" hidden="1" customHeight="1" x14ac:dyDescent="0.25">
      <c r="B140" s="182"/>
      <c r="C140" s="183"/>
      <c r="D140" s="184"/>
      <c r="E140" s="185"/>
      <c r="F140" s="186"/>
      <c r="G140" s="202" t="s">
        <v>188</v>
      </c>
      <c r="H140" s="603"/>
      <c r="I140" s="203" t="s">
        <v>144</v>
      </c>
      <c r="J140" s="636"/>
      <c r="K140" s="636"/>
      <c r="L140" s="636"/>
      <c r="M140" s="190"/>
      <c r="N140" s="191"/>
      <c r="O140" s="191"/>
      <c r="P140" s="191"/>
      <c r="Q140" s="587" t="s">
        <v>421</v>
      </c>
      <c r="R140" s="191">
        <v>1000000000</v>
      </c>
      <c r="S140" s="192" t="s">
        <v>421</v>
      </c>
    </row>
    <row r="141" spans="2:21" s="192" customFormat="1" ht="15" hidden="1" customHeight="1" x14ac:dyDescent="0.25">
      <c r="B141" s="182"/>
      <c r="C141" s="183"/>
      <c r="D141" s="184"/>
      <c r="E141" s="185"/>
      <c r="F141" s="186"/>
      <c r="G141" s="202" t="s">
        <v>188</v>
      </c>
      <c r="H141" s="603"/>
      <c r="I141" s="203" t="s">
        <v>144</v>
      </c>
      <c r="J141" s="636"/>
      <c r="K141" s="636"/>
      <c r="L141" s="636"/>
      <c r="M141" s="190"/>
      <c r="N141" s="191"/>
      <c r="O141" s="191"/>
      <c r="P141" s="191"/>
      <c r="Q141" s="587" t="s">
        <v>422</v>
      </c>
      <c r="R141" s="191">
        <v>1000000000</v>
      </c>
      <c r="S141" s="192" t="s">
        <v>422</v>
      </c>
    </row>
    <row r="142" spans="2:21" ht="3.75" customHeight="1" x14ac:dyDescent="0.25">
      <c r="C142" s="471"/>
      <c r="D142" s="375"/>
      <c r="E142" s="96"/>
      <c r="F142" s="472"/>
      <c r="G142" s="473"/>
      <c r="H142" s="474"/>
      <c r="I142" s="475"/>
      <c r="J142" s="640"/>
      <c r="K142" s="640"/>
      <c r="L142" s="640"/>
      <c r="M142" s="476"/>
      <c r="N142" s="1000"/>
      <c r="O142" s="1000"/>
      <c r="P142" s="228"/>
      <c r="Q142" s="594"/>
      <c r="R142" s="494"/>
      <c r="S142" s="229"/>
      <c r="U142" s="230"/>
    </row>
    <row r="143" spans="2:21" s="15" customFormat="1" ht="22.5" customHeight="1" x14ac:dyDescent="0.25">
      <c r="B143" s="13"/>
      <c r="C143" s="1506" t="s">
        <v>452</v>
      </c>
      <c r="D143" s="1507"/>
      <c r="E143" s="1558" t="s">
        <v>189</v>
      </c>
      <c r="F143" s="1559"/>
      <c r="G143" s="1560"/>
      <c r="H143" s="231" t="s">
        <v>190</v>
      </c>
      <c r="I143" s="232"/>
      <c r="J143" s="641">
        <f>J144+J145+J146+J147+J151+J152+J153+J154+J155+J156+J157+J161+J162+J163+J164+J165+J166+J167</f>
        <v>61485840000</v>
      </c>
      <c r="K143" s="641">
        <f>K144+K145+K146+K147+K151+K152+K153+K154+K155+K156+K157+K161+K162+K163+K164+K165+K166+K167</f>
        <v>61485840000</v>
      </c>
      <c r="L143" s="641">
        <f>L144+L145+L146+L147+L151+L152+L153+L154+L155+L156+L157+L161+L162+L163+L164+L165+L166+L167</f>
        <v>58285840000</v>
      </c>
      <c r="M143" s="233">
        <f>M144+M145+M146+M147+M151+M152+M153+M154+M155+M156+M157+M161+M162+M163+M164+M165+M166+M167</f>
        <v>58285840000</v>
      </c>
      <c r="N143" s="1001"/>
      <c r="O143" s="1001"/>
      <c r="P143" s="26"/>
      <c r="Q143" s="596"/>
      <c r="R143" s="495"/>
      <c r="S143" s="234"/>
      <c r="T143" s="21"/>
    </row>
    <row r="144" spans="2:21" s="29" customFormat="1" ht="18" customHeight="1" x14ac:dyDescent="0.25">
      <c r="B144" s="13"/>
      <c r="C144" s="49"/>
      <c r="D144" s="79"/>
      <c r="E144" s="77" t="s">
        <v>5</v>
      </c>
      <c r="F144" s="1575" t="s">
        <v>191</v>
      </c>
      <c r="G144" s="1576"/>
      <c r="H144" s="235" t="s">
        <v>192</v>
      </c>
      <c r="I144" s="236" t="s">
        <v>471</v>
      </c>
      <c r="J144" s="642">
        <v>2135760000</v>
      </c>
      <c r="K144" s="642">
        <v>2135760000</v>
      </c>
      <c r="L144" s="642">
        <v>2135760000</v>
      </c>
      <c r="M144" s="237">
        <v>2135760000</v>
      </c>
      <c r="N144" s="238"/>
      <c r="O144" s="238"/>
      <c r="P144" s="238"/>
      <c r="Q144" s="595"/>
      <c r="R144" s="496"/>
      <c r="S144" s="148"/>
    </row>
    <row r="145" spans="2:21" s="29" customFormat="1" ht="21" customHeight="1" x14ac:dyDescent="0.25">
      <c r="B145" s="13"/>
      <c r="C145" s="49"/>
      <c r="D145" s="79"/>
      <c r="E145" s="77" t="s">
        <v>10</v>
      </c>
      <c r="F145" s="1569" t="s">
        <v>193</v>
      </c>
      <c r="G145" s="1570"/>
      <c r="H145" s="235" t="s">
        <v>194</v>
      </c>
      <c r="I145" s="236" t="s">
        <v>403</v>
      </c>
      <c r="J145" s="642">
        <v>2422200000</v>
      </c>
      <c r="K145" s="642">
        <v>2422200000</v>
      </c>
      <c r="L145" s="642">
        <v>2422200000</v>
      </c>
      <c r="M145" s="237">
        <v>2422200000</v>
      </c>
      <c r="N145" s="238"/>
      <c r="O145" s="238"/>
      <c r="P145" s="238"/>
      <c r="Q145" s="591"/>
      <c r="R145" s="496"/>
      <c r="S145" s="63"/>
      <c r="T145" s="28"/>
    </row>
    <row r="146" spans="2:21" s="29" customFormat="1" ht="24.75" customHeight="1" x14ac:dyDescent="0.25">
      <c r="B146" s="13"/>
      <c r="C146" s="39"/>
      <c r="D146" s="140"/>
      <c r="E146" s="109" t="s">
        <v>13</v>
      </c>
      <c r="F146" s="1569" t="s">
        <v>195</v>
      </c>
      <c r="G146" s="1570"/>
      <c r="H146" s="239" t="s">
        <v>196</v>
      </c>
      <c r="I146" s="240" t="s">
        <v>472</v>
      </c>
      <c r="J146" s="643">
        <v>2632740000</v>
      </c>
      <c r="K146" s="643">
        <v>2632740000</v>
      </c>
      <c r="L146" s="643">
        <v>2632740000</v>
      </c>
      <c r="M146" s="241">
        <v>2632740000</v>
      </c>
      <c r="N146" s="238"/>
      <c r="O146" s="238"/>
      <c r="P146" s="238"/>
      <c r="Q146" s="591"/>
      <c r="R146" s="496"/>
      <c r="S146" s="63"/>
      <c r="T146" s="242"/>
    </row>
    <row r="147" spans="2:21" s="29" customFormat="1" ht="29.25" customHeight="1" x14ac:dyDescent="0.25">
      <c r="B147" s="13"/>
      <c r="C147" s="39"/>
      <c r="D147" s="140"/>
      <c r="E147" s="109" t="s">
        <v>16</v>
      </c>
      <c r="F147" s="1569" t="s">
        <v>197</v>
      </c>
      <c r="G147" s="1570"/>
      <c r="H147" s="239" t="s">
        <v>198</v>
      </c>
      <c r="I147" s="240" t="s">
        <v>199</v>
      </c>
      <c r="J147" s="643">
        <f>SUM(J148:J150)</f>
        <v>3884440000</v>
      </c>
      <c r="K147" s="643">
        <f>SUM(K148:K150)</f>
        <v>3884440000</v>
      </c>
      <c r="L147" s="643">
        <f>SUM(L148:L150)</f>
        <v>3884440000</v>
      </c>
      <c r="M147" s="241">
        <f>SUM(M148:M150)</f>
        <v>3884440000</v>
      </c>
      <c r="N147" s="238"/>
      <c r="O147" s="238"/>
      <c r="P147" s="238"/>
      <c r="Q147" s="589"/>
      <c r="R147" s="496"/>
      <c r="S147" s="179"/>
    </row>
    <row r="148" spans="2:21" s="306" customFormat="1" ht="16.5" customHeight="1" x14ac:dyDescent="0.25">
      <c r="B148" s="461"/>
      <c r="C148" s="462"/>
      <c r="D148" s="463"/>
      <c r="E148" s="341"/>
      <c r="F148" s="464" t="s">
        <v>46</v>
      </c>
      <c r="G148" s="460" t="s">
        <v>197</v>
      </c>
      <c r="H148" s="465"/>
      <c r="I148" s="466"/>
      <c r="J148" s="644">
        <v>2684440000</v>
      </c>
      <c r="K148" s="644">
        <v>2684440000</v>
      </c>
      <c r="L148" s="644">
        <v>2684440000</v>
      </c>
      <c r="M148" s="467">
        <v>2684440000</v>
      </c>
      <c r="N148" s="1002"/>
      <c r="O148" s="1002"/>
      <c r="P148" s="468"/>
      <c r="Q148" s="585"/>
      <c r="R148" s="497"/>
      <c r="S148" s="113"/>
    </row>
    <row r="149" spans="2:21" s="252" customFormat="1" ht="29.25" customHeight="1" x14ac:dyDescent="0.25">
      <c r="B149" s="243"/>
      <c r="C149" s="244"/>
      <c r="D149" s="245"/>
      <c r="E149" s="246"/>
      <c r="F149" s="247" t="s">
        <v>46</v>
      </c>
      <c r="G149" s="248" t="s">
        <v>337</v>
      </c>
      <c r="H149" s="249"/>
      <c r="I149" s="250"/>
      <c r="J149" s="645">
        <v>200000000</v>
      </c>
      <c r="K149" s="645">
        <v>200000000</v>
      </c>
      <c r="L149" s="645">
        <v>200000000</v>
      </c>
      <c r="M149" s="446">
        <v>200000000</v>
      </c>
      <c r="N149" s="1003"/>
      <c r="O149" s="1003"/>
      <c r="P149" s="251"/>
      <c r="Q149" s="587" t="s">
        <v>338</v>
      </c>
      <c r="R149" s="498">
        <v>200000000</v>
      </c>
      <c r="S149" s="192" t="s">
        <v>338</v>
      </c>
    </row>
    <row r="150" spans="2:21" s="252" customFormat="1" ht="25.5" x14ac:dyDescent="0.25">
      <c r="B150" s="243"/>
      <c r="C150" s="253"/>
      <c r="D150" s="184"/>
      <c r="E150" s="254"/>
      <c r="F150" s="255" t="s">
        <v>46</v>
      </c>
      <c r="G150" s="256" t="s">
        <v>200</v>
      </c>
      <c r="H150" s="257"/>
      <c r="I150" s="258"/>
      <c r="J150" s="646">
        <f>1000000000</f>
        <v>1000000000</v>
      </c>
      <c r="K150" s="646">
        <f>1000000000</f>
        <v>1000000000</v>
      </c>
      <c r="L150" s="646">
        <f>1000000000</f>
        <v>1000000000</v>
      </c>
      <c r="M150" s="259">
        <f>1000000000</f>
        <v>1000000000</v>
      </c>
      <c r="N150" s="260"/>
      <c r="O150" s="260"/>
      <c r="P150" s="260"/>
      <c r="Q150" s="592" t="s">
        <v>420</v>
      </c>
      <c r="R150" s="499">
        <v>1000000000</v>
      </c>
      <c r="S150" s="261" t="s">
        <v>420</v>
      </c>
      <c r="U150" s="261"/>
    </row>
    <row r="151" spans="2:21" s="29" customFormat="1" ht="31.5" customHeight="1" x14ac:dyDescent="0.25">
      <c r="B151" s="13"/>
      <c r="C151" s="39"/>
      <c r="D151" s="140"/>
      <c r="E151" s="109" t="s">
        <v>19</v>
      </c>
      <c r="F151" s="1569" t="s">
        <v>391</v>
      </c>
      <c r="G151" s="1570"/>
      <c r="H151" s="239" t="s">
        <v>201</v>
      </c>
      <c r="I151" s="240" t="s">
        <v>474</v>
      </c>
      <c r="J151" s="643">
        <v>2770240000</v>
      </c>
      <c r="K151" s="643">
        <v>2770240000</v>
      </c>
      <c r="L151" s="643">
        <v>2770240000</v>
      </c>
      <c r="M151" s="241">
        <v>2770240000</v>
      </c>
      <c r="N151" s="238"/>
      <c r="O151" s="238"/>
      <c r="P151" s="238"/>
      <c r="Q151" s="526"/>
      <c r="R151" s="496"/>
    </row>
    <row r="152" spans="2:21" s="29" customFormat="1" ht="30.75" customHeight="1" x14ac:dyDescent="0.25">
      <c r="B152" s="13"/>
      <c r="C152" s="39"/>
      <c r="D152" s="140"/>
      <c r="E152" s="109" t="s">
        <v>27</v>
      </c>
      <c r="F152" s="1569" t="s">
        <v>202</v>
      </c>
      <c r="G152" s="1570"/>
      <c r="H152" s="239" t="s">
        <v>203</v>
      </c>
      <c r="I152" s="240" t="s">
        <v>475</v>
      </c>
      <c r="J152" s="643">
        <v>1778480000</v>
      </c>
      <c r="K152" s="643">
        <v>1778480000</v>
      </c>
      <c r="L152" s="643">
        <v>1778480000</v>
      </c>
      <c r="M152" s="241">
        <v>1778480000</v>
      </c>
      <c r="N152" s="238"/>
      <c r="O152" s="238"/>
      <c r="P152" s="238"/>
      <c r="Q152" s="526"/>
      <c r="R152" s="496"/>
    </row>
    <row r="153" spans="2:21" s="29" customFormat="1" ht="18" customHeight="1" x14ac:dyDescent="0.25">
      <c r="B153" s="13"/>
      <c r="C153" s="39"/>
      <c r="D153" s="140"/>
      <c r="E153" s="109" t="s">
        <v>30</v>
      </c>
      <c r="F153" s="1569" t="s">
        <v>204</v>
      </c>
      <c r="G153" s="1570"/>
      <c r="H153" s="239" t="s">
        <v>205</v>
      </c>
      <c r="I153" s="240" t="s">
        <v>476</v>
      </c>
      <c r="J153" s="643">
        <v>2292620000</v>
      </c>
      <c r="K153" s="643">
        <v>2292620000</v>
      </c>
      <c r="L153" s="643">
        <v>2292620000</v>
      </c>
      <c r="M153" s="241">
        <v>2292620000</v>
      </c>
      <c r="N153" s="238"/>
      <c r="O153" s="238"/>
      <c r="P153" s="238"/>
      <c r="Q153" s="526"/>
      <c r="R153" s="496"/>
    </row>
    <row r="154" spans="2:21" s="29" customFormat="1" ht="19.5" customHeight="1" x14ac:dyDescent="0.25">
      <c r="B154" s="13"/>
      <c r="C154" s="39"/>
      <c r="D154" s="140"/>
      <c r="E154" s="109" t="s">
        <v>8</v>
      </c>
      <c r="F154" s="1569" t="s">
        <v>206</v>
      </c>
      <c r="G154" s="1570"/>
      <c r="H154" s="239" t="s">
        <v>207</v>
      </c>
      <c r="I154" s="240" t="s">
        <v>477</v>
      </c>
      <c r="J154" s="643">
        <v>2560360000</v>
      </c>
      <c r="K154" s="643">
        <v>2560360000</v>
      </c>
      <c r="L154" s="643">
        <v>2560360000</v>
      </c>
      <c r="M154" s="241">
        <v>2560360000</v>
      </c>
      <c r="N154" s="238"/>
      <c r="O154" s="238"/>
      <c r="P154" s="238"/>
      <c r="Q154" s="526"/>
      <c r="R154" s="496"/>
    </row>
    <row r="155" spans="2:21" s="29" customFormat="1" ht="31.5" customHeight="1" x14ac:dyDescent="0.25">
      <c r="B155" s="13"/>
      <c r="C155" s="39"/>
      <c r="D155" s="140"/>
      <c r="E155" s="109" t="s">
        <v>22</v>
      </c>
      <c r="F155" s="1569" t="s">
        <v>208</v>
      </c>
      <c r="G155" s="1570"/>
      <c r="H155" s="239" t="s">
        <v>209</v>
      </c>
      <c r="I155" s="240" t="s">
        <v>478</v>
      </c>
      <c r="J155" s="643">
        <v>3006520000</v>
      </c>
      <c r="K155" s="643">
        <v>3006520000</v>
      </c>
      <c r="L155" s="643">
        <v>3006520000</v>
      </c>
      <c r="M155" s="241">
        <v>3006520000</v>
      </c>
      <c r="N155" s="238"/>
      <c r="O155" s="238"/>
      <c r="P155" s="238"/>
      <c r="Q155" s="526"/>
      <c r="R155" s="496"/>
    </row>
    <row r="156" spans="2:21" s="29" customFormat="1" ht="21" customHeight="1" x14ac:dyDescent="0.25">
      <c r="B156" s="13"/>
      <c r="C156" s="39"/>
      <c r="D156" s="140"/>
      <c r="E156" s="109" t="s">
        <v>210</v>
      </c>
      <c r="F156" s="1569" t="s">
        <v>211</v>
      </c>
      <c r="G156" s="1570"/>
      <c r="H156" s="239" t="s">
        <v>212</v>
      </c>
      <c r="I156" s="240" t="s">
        <v>473</v>
      </c>
      <c r="J156" s="643">
        <v>1980000000</v>
      </c>
      <c r="K156" s="643">
        <v>1980000000</v>
      </c>
      <c r="L156" s="643">
        <v>1980000000</v>
      </c>
      <c r="M156" s="241">
        <v>1980000000</v>
      </c>
      <c r="N156" s="238"/>
      <c r="O156" s="238"/>
      <c r="P156" s="238"/>
      <c r="Q156" s="526"/>
      <c r="R156" s="496"/>
    </row>
    <row r="157" spans="2:21" s="29" customFormat="1" ht="27.75" customHeight="1" x14ac:dyDescent="0.25">
      <c r="B157" s="13"/>
      <c r="C157" s="39"/>
      <c r="D157" s="140"/>
      <c r="E157" s="109">
        <v>11</v>
      </c>
      <c r="F157" s="1569" t="s">
        <v>213</v>
      </c>
      <c r="G157" s="1570"/>
      <c r="H157" s="239" t="s">
        <v>214</v>
      </c>
      <c r="I157" s="240" t="s">
        <v>479</v>
      </c>
      <c r="J157" s="643">
        <f>SUM(J158:J160)</f>
        <v>2022480000</v>
      </c>
      <c r="K157" s="643">
        <f>SUM(K158:K160)</f>
        <v>2022480000</v>
      </c>
      <c r="L157" s="643">
        <f>SUM(L158:L160)</f>
        <v>2022480000</v>
      </c>
      <c r="M157" s="241">
        <f>SUM(M158:M160)</f>
        <v>2022480000</v>
      </c>
      <c r="N157" s="238"/>
      <c r="O157" s="238"/>
      <c r="P157" s="238"/>
      <c r="Q157" s="526"/>
      <c r="R157" s="496"/>
    </row>
    <row r="158" spans="2:21" s="113" customFormat="1" ht="25.5" customHeight="1" x14ac:dyDescent="0.2">
      <c r="B158" s="262"/>
      <c r="C158" s="263"/>
      <c r="D158" s="156"/>
      <c r="E158" s="157"/>
      <c r="F158" s="264" t="s">
        <v>46</v>
      </c>
      <c r="G158" s="265" t="s">
        <v>213</v>
      </c>
      <c r="H158" s="132"/>
      <c r="I158" s="266"/>
      <c r="J158" s="635">
        <v>1272480000</v>
      </c>
      <c r="K158" s="635">
        <v>1272480000</v>
      </c>
      <c r="L158" s="635">
        <v>1272480000</v>
      </c>
      <c r="M158" s="177">
        <v>1272480000</v>
      </c>
      <c r="N158" s="178"/>
      <c r="O158" s="178"/>
      <c r="P158" s="178"/>
      <c r="Q158" s="527"/>
      <c r="R158" s="178"/>
    </row>
    <row r="159" spans="2:21" s="113" customFormat="1" ht="14.25" customHeight="1" x14ac:dyDescent="0.2">
      <c r="B159" s="262"/>
      <c r="C159" s="263"/>
      <c r="D159" s="156"/>
      <c r="E159" s="157"/>
      <c r="F159" s="264" t="s">
        <v>46</v>
      </c>
      <c r="G159" s="265" t="s">
        <v>450</v>
      </c>
      <c r="H159" s="132"/>
      <c r="I159" s="266"/>
      <c r="J159" s="635">
        <f>250000000+500000000</f>
        <v>750000000</v>
      </c>
      <c r="K159" s="635">
        <f t="shared" ref="K159:M159" si="1">250000000+500000000</f>
        <v>750000000</v>
      </c>
      <c r="L159" s="635">
        <f t="shared" si="1"/>
        <v>750000000</v>
      </c>
      <c r="M159" s="177">
        <f t="shared" si="1"/>
        <v>750000000</v>
      </c>
      <c r="N159" s="178"/>
      <c r="O159" s="178"/>
      <c r="P159" s="178"/>
      <c r="Q159" s="527"/>
      <c r="R159" s="178"/>
    </row>
    <row r="160" spans="2:21" s="192" customFormat="1" ht="14.25" hidden="1" customHeight="1" x14ac:dyDescent="0.2">
      <c r="B160" s="267"/>
      <c r="C160" s="268"/>
      <c r="D160" s="254"/>
      <c r="E160" s="269"/>
      <c r="F160" s="255" t="s">
        <v>46</v>
      </c>
      <c r="G160" s="270" t="s">
        <v>450</v>
      </c>
      <c r="H160" s="188"/>
      <c r="I160" s="271"/>
      <c r="J160" s="636"/>
      <c r="K160" s="636"/>
      <c r="L160" s="636"/>
      <c r="M160" s="190"/>
      <c r="N160" s="191"/>
      <c r="O160" s="191"/>
      <c r="P160" s="191"/>
      <c r="Q160" s="587" t="s">
        <v>428</v>
      </c>
      <c r="R160" s="191">
        <v>500000000</v>
      </c>
      <c r="S160" s="192" t="s">
        <v>428</v>
      </c>
    </row>
    <row r="161" spans="2:21" s="29" customFormat="1" ht="20.25" customHeight="1" x14ac:dyDescent="0.25">
      <c r="B161" s="13"/>
      <c r="C161" s="39"/>
      <c r="D161" s="140"/>
      <c r="E161" s="109">
        <v>12</v>
      </c>
      <c r="F161" s="1569" t="s">
        <v>215</v>
      </c>
      <c r="G161" s="1570"/>
      <c r="H161" s="239" t="s">
        <v>216</v>
      </c>
      <c r="I161" s="240" t="s">
        <v>217</v>
      </c>
      <c r="J161" s="643">
        <f>500000000+300000000</f>
        <v>800000000</v>
      </c>
      <c r="K161" s="643">
        <f>500000000+300000000</f>
        <v>800000000</v>
      </c>
      <c r="L161" s="643">
        <f>500000000+300000000</f>
        <v>800000000</v>
      </c>
      <c r="M161" s="241">
        <f>500000000+300000000</f>
        <v>800000000</v>
      </c>
      <c r="N161" s="238"/>
      <c r="O161" s="238"/>
      <c r="P161" s="238"/>
      <c r="Q161" s="526"/>
      <c r="R161" s="496"/>
    </row>
    <row r="162" spans="2:21" s="29" customFormat="1" ht="19.5" customHeight="1" x14ac:dyDescent="0.25">
      <c r="B162" s="13"/>
      <c r="C162" s="39"/>
      <c r="D162" s="140"/>
      <c r="E162" s="109">
        <v>13</v>
      </c>
      <c r="F162" s="1569" t="s">
        <v>218</v>
      </c>
      <c r="G162" s="1570"/>
      <c r="H162" s="239" t="s">
        <v>219</v>
      </c>
      <c r="I162" s="240" t="s">
        <v>393</v>
      </c>
      <c r="J162" s="643">
        <v>4000000000</v>
      </c>
      <c r="K162" s="643">
        <v>4000000000</v>
      </c>
      <c r="L162" s="643">
        <v>4000000000</v>
      </c>
      <c r="M162" s="241">
        <v>4000000000</v>
      </c>
      <c r="N162" s="238"/>
      <c r="O162" s="238"/>
      <c r="P162" s="238"/>
      <c r="Q162" s="526"/>
      <c r="R162" s="496"/>
    </row>
    <row r="163" spans="2:21" s="29" customFormat="1" ht="24" customHeight="1" x14ac:dyDescent="0.25">
      <c r="B163" s="13"/>
      <c r="C163" s="39"/>
      <c r="D163" s="140"/>
      <c r="E163" s="759">
        <v>14</v>
      </c>
      <c r="F163" s="1714" t="s">
        <v>229</v>
      </c>
      <c r="G163" s="1715"/>
      <c r="H163" s="760" t="s">
        <v>230</v>
      </c>
      <c r="I163" s="761" t="s">
        <v>111</v>
      </c>
      <c r="J163" s="691">
        <f>2000000000-300000000</f>
        <v>1700000000</v>
      </c>
      <c r="K163" s="691">
        <f>2000000000-300000000</f>
        <v>1700000000</v>
      </c>
      <c r="L163" s="691">
        <v>0</v>
      </c>
      <c r="M163" s="692">
        <v>0</v>
      </c>
      <c r="N163" s="1004"/>
      <c r="O163" s="1004"/>
      <c r="P163" s="238"/>
      <c r="Q163" s="526"/>
      <c r="R163" s="496"/>
    </row>
    <row r="164" spans="2:21" s="29" customFormat="1" ht="16.5" customHeight="1" x14ac:dyDescent="0.25">
      <c r="B164" s="13"/>
      <c r="C164" s="39"/>
      <c r="D164" s="140"/>
      <c r="E164" s="55">
        <v>15</v>
      </c>
      <c r="F164" s="1569" t="s">
        <v>225</v>
      </c>
      <c r="G164" s="1570"/>
      <c r="H164" s="272" t="s">
        <v>226</v>
      </c>
      <c r="I164" s="273" t="s">
        <v>480</v>
      </c>
      <c r="J164" s="647">
        <f t="shared" ref="J164:M165" si="2">11000000000</f>
        <v>11000000000</v>
      </c>
      <c r="K164" s="647">
        <f t="shared" si="2"/>
        <v>11000000000</v>
      </c>
      <c r="L164" s="647">
        <f t="shared" si="2"/>
        <v>11000000000</v>
      </c>
      <c r="M164" s="274">
        <f t="shared" si="2"/>
        <v>11000000000</v>
      </c>
      <c r="N164" s="238"/>
      <c r="O164" s="238"/>
      <c r="P164" s="238"/>
      <c r="Q164" s="526"/>
      <c r="R164" s="496"/>
    </row>
    <row r="165" spans="2:21" s="29" customFormat="1" ht="16.5" customHeight="1" x14ac:dyDescent="0.25">
      <c r="B165" s="13"/>
      <c r="C165" s="39"/>
      <c r="D165" s="140"/>
      <c r="E165" s="55">
        <v>16</v>
      </c>
      <c r="F165" s="1569" t="s">
        <v>227</v>
      </c>
      <c r="G165" s="1570"/>
      <c r="H165" s="272" t="s">
        <v>228</v>
      </c>
      <c r="I165" s="273" t="s">
        <v>480</v>
      </c>
      <c r="J165" s="647">
        <f t="shared" si="2"/>
        <v>11000000000</v>
      </c>
      <c r="K165" s="647">
        <f t="shared" si="2"/>
        <v>11000000000</v>
      </c>
      <c r="L165" s="647">
        <f t="shared" si="2"/>
        <v>11000000000</v>
      </c>
      <c r="M165" s="274">
        <f t="shared" si="2"/>
        <v>11000000000</v>
      </c>
      <c r="N165" s="238"/>
      <c r="O165" s="238"/>
      <c r="P165" s="238"/>
      <c r="Q165" s="526"/>
      <c r="R165" s="496"/>
      <c r="T165" s="396">
        <v>1750000000</v>
      </c>
      <c r="U165" s="29">
        <f>M165/T165</f>
        <v>6.2857142857142856</v>
      </c>
    </row>
    <row r="166" spans="2:21" s="29" customFormat="1" ht="39" customHeight="1" x14ac:dyDescent="0.25">
      <c r="B166" s="13"/>
      <c r="C166" s="39"/>
      <c r="D166" s="140"/>
      <c r="E166" s="55">
        <v>17</v>
      </c>
      <c r="F166" s="1569" t="s">
        <v>223</v>
      </c>
      <c r="G166" s="1570"/>
      <c r="H166" s="272" t="s">
        <v>415</v>
      </c>
      <c r="I166" s="713" t="s">
        <v>224</v>
      </c>
      <c r="J166" s="647">
        <v>4000000000</v>
      </c>
      <c r="K166" s="647">
        <v>4000000000</v>
      </c>
      <c r="L166" s="647">
        <v>4000000000</v>
      </c>
      <c r="M166" s="274">
        <v>4000000000</v>
      </c>
      <c r="N166" s="238"/>
      <c r="O166" s="238"/>
      <c r="P166" s="238"/>
      <c r="Q166" s="540"/>
      <c r="R166" s="496"/>
    </row>
    <row r="167" spans="2:21" s="29" customFormat="1" ht="30" customHeight="1" x14ac:dyDescent="0.25">
      <c r="B167" s="13"/>
      <c r="C167" s="39"/>
      <c r="D167" s="140"/>
      <c r="E167" s="140">
        <v>18</v>
      </c>
      <c r="F167" s="1716" t="s">
        <v>220</v>
      </c>
      <c r="G167" s="1717"/>
      <c r="H167" s="763" t="s">
        <v>221</v>
      </c>
      <c r="I167" s="764" t="s">
        <v>222</v>
      </c>
      <c r="J167" s="695">
        <v>1500000000</v>
      </c>
      <c r="K167" s="695">
        <v>1500000000</v>
      </c>
      <c r="L167" s="695">
        <v>0</v>
      </c>
      <c r="M167" s="696">
        <v>0</v>
      </c>
      <c r="N167" s="1004"/>
      <c r="O167" s="1004"/>
      <c r="P167" s="238"/>
      <c r="Q167" s="526"/>
      <c r="R167" s="496"/>
    </row>
    <row r="168" spans="2:21" ht="4.5" customHeight="1" x14ac:dyDescent="0.25">
      <c r="C168" s="275"/>
      <c r="D168" s="276"/>
      <c r="E168" s="276"/>
      <c r="F168" s="1540"/>
      <c r="G168" s="1541"/>
      <c r="H168" s="279"/>
      <c r="I168" s="280"/>
      <c r="J168" s="648"/>
      <c r="K168" s="648"/>
      <c r="L168" s="648"/>
      <c r="M168" s="281"/>
      <c r="N168" s="993"/>
      <c r="O168" s="993"/>
      <c r="P168" s="101"/>
      <c r="Q168" s="528"/>
      <c r="R168" s="491"/>
    </row>
    <row r="169" spans="2:21" s="15" customFormat="1" ht="32.25" customHeight="1" x14ac:dyDescent="0.25">
      <c r="B169" s="13"/>
      <c r="C169" s="1501" t="s">
        <v>453</v>
      </c>
      <c r="D169" s="1502"/>
      <c r="E169" s="1558" t="s">
        <v>231</v>
      </c>
      <c r="F169" s="1559"/>
      <c r="G169" s="1560"/>
      <c r="H169" s="231" t="s">
        <v>232</v>
      </c>
      <c r="I169" s="282"/>
      <c r="J169" s="649">
        <f>J171+J170+J172</f>
        <v>1850000000</v>
      </c>
      <c r="K169" s="649">
        <f>K171+K170+K172</f>
        <v>1850000000</v>
      </c>
      <c r="L169" s="649">
        <f>L171+L170+L172</f>
        <v>1850000000</v>
      </c>
      <c r="M169" s="283">
        <f>M171+M170+M172</f>
        <v>1850000000</v>
      </c>
      <c r="N169" s="1005"/>
      <c r="O169" s="1005"/>
      <c r="P169" s="104"/>
      <c r="Q169" s="529"/>
      <c r="R169" s="14"/>
      <c r="S169" s="17"/>
    </row>
    <row r="170" spans="2:21" s="29" customFormat="1" ht="16.5" customHeight="1" x14ac:dyDescent="0.25">
      <c r="B170" s="13"/>
      <c r="C170" s="39"/>
      <c r="D170" s="140"/>
      <c r="E170" s="109" t="s">
        <v>5</v>
      </c>
      <c r="F170" s="1567" t="s">
        <v>233</v>
      </c>
      <c r="G170" s="1568"/>
      <c r="H170" s="284" t="s">
        <v>234</v>
      </c>
      <c r="I170" s="285">
        <v>1</v>
      </c>
      <c r="J170" s="650">
        <v>1200000000</v>
      </c>
      <c r="K170" s="650">
        <v>1200000000</v>
      </c>
      <c r="L170" s="650">
        <v>1200000000</v>
      </c>
      <c r="M170" s="286">
        <v>1200000000</v>
      </c>
      <c r="N170" s="1006"/>
      <c r="O170" s="1006"/>
      <c r="P170" s="7"/>
      <c r="Q170" s="530"/>
      <c r="R170" s="1107"/>
    </row>
    <row r="171" spans="2:21" s="82" customFormat="1" ht="17.25" customHeight="1" x14ac:dyDescent="0.25">
      <c r="B171" s="59"/>
      <c r="C171" s="39"/>
      <c r="D171" s="140"/>
      <c r="E171" s="109" t="s">
        <v>10</v>
      </c>
      <c r="F171" s="1565" t="s">
        <v>235</v>
      </c>
      <c r="G171" s="1566"/>
      <c r="H171" s="284" t="s">
        <v>234</v>
      </c>
      <c r="I171" s="285">
        <v>1</v>
      </c>
      <c r="J171" s="650">
        <v>350000000</v>
      </c>
      <c r="K171" s="650">
        <v>350000000</v>
      </c>
      <c r="L171" s="650">
        <v>350000000</v>
      </c>
      <c r="M171" s="286">
        <v>350000000</v>
      </c>
      <c r="N171" s="1006"/>
      <c r="O171" s="1006"/>
      <c r="P171" s="7"/>
      <c r="Q171" s="530"/>
      <c r="R171" s="1107"/>
      <c r="S171" s="136"/>
    </row>
    <row r="172" spans="2:21" s="29" customFormat="1" ht="27.75" customHeight="1" x14ac:dyDescent="0.25">
      <c r="B172" s="13"/>
      <c r="C172" s="39"/>
      <c r="D172" s="140"/>
      <c r="E172" s="109" t="s">
        <v>13</v>
      </c>
      <c r="F172" s="1550" t="s">
        <v>236</v>
      </c>
      <c r="G172" s="1551"/>
      <c r="H172" s="297" t="s">
        <v>237</v>
      </c>
      <c r="I172" s="477">
        <v>1</v>
      </c>
      <c r="J172" s="650">
        <v>300000000</v>
      </c>
      <c r="K172" s="650">
        <v>300000000</v>
      </c>
      <c r="L172" s="650">
        <v>300000000</v>
      </c>
      <c r="M172" s="286">
        <v>300000000</v>
      </c>
      <c r="N172" s="1006"/>
      <c r="O172" s="1006"/>
      <c r="P172" s="7"/>
      <c r="Q172" s="530"/>
      <c r="R172" s="1107"/>
    </row>
    <row r="173" spans="2:21" ht="3" customHeight="1" x14ac:dyDescent="0.25">
      <c r="C173" s="275"/>
      <c r="D173" s="276"/>
      <c r="E173" s="276"/>
      <c r="F173" s="1540"/>
      <c r="G173" s="1541"/>
      <c r="H173" s="279"/>
      <c r="I173" s="289"/>
      <c r="J173" s="651"/>
      <c r="K173" s="651"/>
      <c r="L173" s="651"/>
      <c r="M173" s="290"/>
      <c r="N173" s="1007"/>
      <c r="O173" s="1007"/>
      <c r="Q173" s="531"/>
    </row>
    <row r="174" spans="2:21" s="29" customFormat="1" ht="33.75" customHeight="1" x14ac:dyDescent="0.25">
      <c r="B174" s="13"/>
      <c r="C174" s="1506" t="s">
        <v>454</v>
      </c>
      <c r="D174" s="1507"/>
      <c r="E174" s="1558" t="s">
        <v>238</v>
      </c>
      <c r="F174" s="1559"/>
      <c r="G174" s="1560"/>
      <c r="H174" s="231" t="s">
        <v>239</v>
      </c>
      <c r="I174" s="282"/>
      <c r="J174" s="652">
        <f>J175+J180+J176+J178</f>
        <v>7000000000</v>
      </c>
      <c r="K174" s="652">
        <f>K175+K180+K176+K178</f>
        <v>7000000000</v>
      </c>
      <c r="L174" s="652">
        <f>L175+L180+L176+L178</f>
        <v>7000000000</v>
      </c>
      <c r="M174" s="292">
        <f>M175+M180+M176+M178</f>
        <v>7000000000</v>
      </c>
      <c r="N174" s="1008"/>
      <c r="O174" s="1008"/>
      <c r="P174" s="32"/>
      <c r="Q174" s="529"/>
      <c r="R174" s="486"/>
      <c r="U174" s="145"/>
    </row>
    <row r="175" spans="2:21" s="29" customFormat="1" ht="27.75" customHeight="1" x14ac:dyDescent="0.25">
      <c r="B175" s="13"/>
      <c r="C175" s="39"/>
      <c r="D175" s="140"/>
      <c r="E175" s="77" t="s">
        <v>5</v>
      </c>
      <c r="F175" s="1567" t="s">
        <v>240</v>
      </c>
      <c r="G175" s="1568"/>
      <c r="H175" s="293" t="s">
        <v>241</v>
      </c>
      <c r="I175" s="294">
        <v>1</v>
      </c>
      <c r="J175" s="653">
        <v>500000000</v>
      </c>
      <c r="K175" s="653">
        <v>500000000</v>
      </c>
      <c r="L175" s="653">
        <v>500000000</v>
      </c>
      <c r="M175" s="295">
        <v>500000000</v>
      </c>
      <c r="N175" s="296"/>
      <c r="O175" s="296"/>
      <c r="P175" s="296"/>
      <c r="Q175" s="532"/>
      <c r="R175" s="501"/>
      <c r="U175" s="145"/>
    </row>
    <row r="176" spans="2:21" s="29" customFormat="1" ht="23.25" customHeight="1" x14ac:dyDescent="0.25">
      <c r="B176" s="13"/>
      <c r="C176" s="39"/>
      <c r="D176" s="140"/>
      <c r="E176" s="109" t="s">
        <v>10</v>
      </c>
      <c r="F176" s="1556" t="s">
        <v>242</v>
      </c>
      <c r="G176" s="1557"/>
      <c r="H176" s="297" t="s">
        <v>243</v>
      </c>
      <c r="I176" s="298" t="s">
        <v>244</v>
      </c>
      <c r="J176" s="654">
        <f>SUM(J177:J177)</f>
        <v>300000000</v>
      </c>
      <c r="K176" s="654">
        <f>SUM(K177:K177)</f>
        <v>300000000</v>
      </c>
      <c r="L176" s="654">
        <f>SUM(L177:L177)</f>
        <v>300000000</v>
      </c>
      <c r="M176" s="299">
        <f>SUM(M177:M177)</f>
        <v>300000000</v>
      </c>
      <c r="N176" s="296"/>
      <c r="O176" s="296"/>
      <c r="P176" s="296"/>
      <c r="Q176" s="533"/>
      <c r="R176" s="501"/>
      <c r="U176" s="145"/>
    </row>
    <row r="177" spans="2:21" s="306" customFormat="1" ht="27" customHeight="1" x14ac:dyDescent="0.25">
      <c r="B177" s="13"/>
      <c r="C177" s="300"/>
      <c r="D177" s="156"/>
      <c r="E177" s="156"/>
      <c r="F177" s="301" t="s">
        <v>46</v>
      </c>
      <c r="G177" s="302" t="s">
        <v>245</v>
      </c>
      <c r="H177" s="303"/>
      <c r="I177" s="1" t="s">
        <v>244</v>
      </c>
      <c r="J177" s="655">
        <v>300000000</v>
      </c>
      <c r="K177" s="655">
        <v>300000000</v>
      </c>
      <c r="L177" s="655">
        <v>300000000</v>
      </c>
      <c r="M177" s="304">
        <v>300000000</v>
      </c>
      <c r="N177" s="305"/>
      <c r="O177" s="305"/>
      <c r="P177" s="305"/>
      <c r="Q177" s="534"/>
      <c r="R177" s="502"/>
      <c r="U177" s="307"/>
    </row>
    <row r="178" spans="2:21" s="29" customFormat="1" ht="25.5" customHeight="1" x14ac:dyDescent="0.25">
      <c r="B178" s="13"/>
      <c r="C178" s="39"/>
      <c r="D178" s="140"/>
      <c r="E178" s="109" t="s">
        <v>13</v>
      </c>
      <c r="F178" s="1550" t="s">
        <v>246</v>
      </c>
      <c r="G178" s="1551"/>
      <c r="H178" s="297" t="s">
        <v>247</v>
      </c>
      <c r="I178" s="298" t="s">
        <v>465</v>
      </c>
      <c r="J178" s="654">
        <f>SUM(J179:J179)</f>
        <v>6000000000</v>
      </c>
      <c r="K178" s="654">
        <f>SUM(K179:K179)</f>
        <v>6000000000</v>
      </c>
      <c r="L178" s="654">
        <f>SUM(L179:L179)</f>
        <v>6000000000</v>
      </c>
      <c r="M178" s="299">
        <f>SUM(M179:M179)</f>
        <v>6000000000</v>
      </c>
      <c r="N178" s="296"/>
      <c r="O178" s="296"/>
      <c r="P178" s="296"/>
      <c r="Q178" s="533"/>
      <c r="R178" s="501"/>
      <c r="U178" s="145"/>
    </row>
    <row r="179" spans="2:21" s="306" customFormat="1" ht="24.75" customHeight="1" x14ac:dyDescent="0.25">
      <c r="B179" s="13"/>
      <c r="C179" s="300"/>
      <c r="D179" s="156"/>
      <c r="E179" s="156"/>
      <c r="F179" s="301" t="s">
        <v>46</v>
      </c>
      <c r="G179" s="302" t="s">
        <v>249</v>
      </c>
      <c r="H179" s="303"/>
      <c r="I179" s="1" t="s">
        <v>248</v>
      </c>
      <c r="J179" s="655">
        <v>6000000000</v>
      </c>
      <c r="K179" s="655">
        <v>6000000000</v>
      </c>
      <c r="L179" s="655">
        <v>6000000000</v>
      </c>
      <c r="M179" s="304">
        <v>6000000000</v>
      </c>
      <c r="N179" s="305"/>
      <c r="O179" s="305"/>
      <c r="P179" s="305"/>
      <c r="Q179" s="534"/>
      <c r="R179" s="502"/>
      <c r="U179" s="307"/>
    </row>
    <row r="180" spans="2:21" s="29" customFormat="1" ht="21.75" customHeight="1" x14ac:dyDescent="0.25">
      <c r="B180" s="13"/>
      <c r="C180" s="39"/>
      <c r="D180" s="140"/>
      <c r="E180" s="109" t="s">
        <v>16</v>
      </c>
      <c r="F180" s="1556" t="s">
        <v>250</v>
      </c>
      <c r="G180" s="1557"/>
      <c r="H180" s="297" t="s">
        <v>251</v>
      </c>
      <c r="I180" s="294">
        <v>1</v>
      </c>
      <c r="J180" s="654">
        <v>200000000</v>
      </c>
      <c r="K180" s="654">
        <v>200000000</v>
      </c>
      <c r="L180" s="654">
        <v>200000000</v>
      </c>
      <c r="M180" s="299">
        <v>200000000</v>
      </c>
      <c r="N180" s="296"/>
      <c r="O180" s="296"/>
      <c r="P180" s="296"/>
      <c r="Q180" s="532"/>
      <c r="R180" s="501"/>
      <c r="U180" s="145"/>
    </row>
    <row r="181" spans="2:21" ht="3" customHeight="1" x14ac:dyDescent="0.25">
      <c r="C181" s="275"/>
      <c r="D181" s="276"/>
      <c r="E181" s="276"/>
      <c r="F181" s="310"/>
      <c r="G181" s="287"/>
      <c r="H181" s="288"/>
      <c r="I181" s="311"/>
      <c r="J181" s="656"/>
      <c r="K181" s="656"/>
      <c r="L181" s="656"/>
      <c r="M181" s="312"/>
      <c r="N181" s="1009"/>
      <c r="O181" s="1009"/>
      <c r="P181" s="308"/>
      <c r="Q181" s="535"/>
      <c r="R181" s="503"/>
      <c r="U181" s="230"/>
    </row>
    <row r="182" spans="2:21" s="15" customFormat="1" ht="34.5" customHeight="1" x14ac:dyDescent="0.25">
      <c r="B182" s="13"/>
      <c r="C182" s="1508" t="s">
        <v>455</v>
      </c>
      <c r="D182" s="1509"/>
      <c r="E182" s="1558" t="s">
        <v>252</v>
      </c>
      <c r="F182" s="1559"/>
      <c r="G182" s="1560"/>
      <c r="H182" s="231" t="s">
        <v>253</v>
      </c>
      <c r="I182" s="282"/>
      <c r="J182" s="649">
        <f>J183+J187+J190+J193+J196+J200+J203+J206+J210+J213+J214+J217+J218+J219+J220+J221</f>
        <v>39876082971</v>
      </c>
      <c r="K182" s="649">
        <f>K183+K187+K190+K193+K196+K200+K203+K206+K210+K213+K214+K217+K218+K219+K220+K221</f>
        <v>55724570542</v>
      </c>
      <c r="L182" s="649">
        <f>L183+L187+L190+L193+L196+L200+L203+L206+L210+L213+L214+L217+L218+L219+L220+L221</f>
        <v>54948487571</v>
      </c>
      <c r="M182" s="283">
        <f>M183+M187+M190+M193+M196+M200+M203+M206+M210+M213+M214+M217+M218+M219+M220+M221</f>
        <v>54948487571</v>
      </c>
      <c r="N182" s="1005"/>
      <c r="O182" s="1005"/>
      <c r="P182" s="104"/>
      <c r="Q182" s="529"/>
      <c r="R182" s="14"/>
      <c r="S182" s="16"/>
      <c r="T182" s="21">
        <v>42276082971</v>
      </c>
    </row>
    <row r="183" spans="2:21" s="62" customFormat="1" ht="20.25" customHeight="1" x14ac:dyDescent="0.25">
      <c r="B183" s="59"/>
      <c r="C183" s="313"/>
      <c r="D183" s="314"/>
      <c r="E183" s="315" t="s">
        <v>5</v>
      </c>
      <c r="F183" s="1561" t="s">
        <v>254</v>
      </c>
      <c r="G183" s="1562"/>
      <c r="H183" s="316" t="s">
        <v>255</v>
      </c>
      <c r="I183" s="317"/>
      <c r="J183" s="657">
        <f>SUM(J184:J186)</f>
        <v>10935000000</v>
      </c>
      <c r="K183" s="657">
        <f>SUM(K184:K186)</f>
        <v>26783487571</v>
      </c>
      <c r="L183" s="657">
        <f>SUM(L184:L186)</f>
        <v>26783487571</v>
      </c>
      <c r="M183" s="318">
        <f>SUM(M184:M186)</f>
        <v>26783487571</v>
      </c>
      <c r="N183" s="319"/>
      <c r="O183" s="319"/>
      <c r="P183" s="319"/>
      <c r="Q183" s="541"/>
      <c r="R183" s="504"/>
      <c r="S183" s="63"/>
      <c r="T183" s="1067">
        <v>26783487571</v>
      </c>
    </row>
    <row r="184" spans="2:21" s="113" customFormat="1" ht="17.25" customHeight="1" x14ac:dyDescent="0.25">
      <c r="B184" s="59"/>
      <c r="C184" s="320"/>
      <c r="D184" s="321"/>
      <c r="E184" s="322"/>
      <c r="F184" s="64" t="s">
        <v>46</v>
      </c>
      <c r="G184" s="679" t="s">
        <v>256</v>
      </c>
      <c r="H184" s="544" t="s">
        <v>257</v>
      </c>
      <c r="I184" s="324">
        <v>7.0000000000000007E-2</v>
      </c>
      <c r="J184" s="1119">
        <f>10000000000+635000000</f>
        <v>10635000000</v>
      </c>
      <c r="K184" s="1119">
        <v>26433487571</v>
      </c>
      <c r="L184" s="1119">
        <v>26433487571</v>
      </c>
      <c r="M184" s="1120">
        <v>26433487571</v>
      </c>
      <c r="N184" s="67"/>
      <c r="O184" s="67"/>
      <c r="P184" s="67"/>
      <c r="Q184" s="542"/>
      <c r="R184" s="490"/>
      <c r="S184" s="151"/>
    </row>
    <row r="185" spans="2:21" s="113" customFormat="1" ht="24" customHeight="1" x14ac:dyDescent="0.2">
      <c r="B185" s="59"/>
      <c r="C185" s="320"/>
      <c r="D185" s="321"/>
      <c r="E185" s="322"/>
      <c r="F185" s="64" t="s">
        <v>46</v>
      </c>
      <c r="G185" s="679" t="s">
        <v>258</v>
      </c>
      <c r="H185" s="326" t="s">
        <v>259</v>
      </c>
      <c r="I185" s="327">
        <v>1</v>
      </c>
      <c r="J185" s="616">
        <v>300000000</v>
      </c>
      <c r="K185" s="616">
        <v>350000000</v>
      </c>
      <c r="L185" s="616">
        <v>350000000</v>
      </c>
      <c r="M185" s="66">
        <v>350000000</v>
      </c>
      <c r="N185" s="67"/>
      <c r="O185" s="67"/>
      <c r="P185" s="67"/>
      <c r="Q185" s="514"/>
      <c r="R185" s="490"/>
      <c r="S185" s="151"/>
    </row>
    <row r="186" spans="2:21" s="113" customFormat="1" ht="15.75" hidden="1" customHeight="1" x14ac:dyDescent="0.2">
      <c r="B186" s="59"/>
      <c r="C186" s="320"/>
      <c r="D186" s="321"/>
      <c r="E186" s="322"/>
      <c r="F186" s="64" t="s">
        <v>46</v>
      </c>
      <c r="G186" s="323" t="s">
        <v>260</v>
      </c>
      <c r="H186" s="328" t="s">
        <v>470</v>
      </c>
      <c r="I186" s="327">
        <v>1</v>
      </c>
      <c r="J186" s="658">
        <v>0</v>
      </c>
      <c r="K186" s="658">
        <v>0</v>
      </c>
      <c r="L186" s="658"/>
      <c r="M186" s="325"/>
      <c r="N186" s="67"/>
      <c r="O186" s="67"/>
      <c r="P186" s="67"/>
      <c r="Q186" s="514"/>
      <c r="R186" s="490"/>
      <c r="S186" s="151"/>
    </row>
    <row r="187" spans="2:21" s="62" customFormat="1" ht="28.5" customHeight="1" x14ac:dyDescent="0.25">
      <c r="B187" s="59"/>
      <c r="C187" s="78"/>
      <c r="D187" s="45"/>
      <c r="E187" s="329" t="s">
        <v>10</v>
      </c>
      <c r="F187" s="1563" t="s">
        <v>261</v>
      </c>
      <c r="G187" s="1564"/>
      <c r="H187" s="74" t="s">
        <v>262</v>
      </c>
      <c r="I187" s="330"/>
      <c r="J187" s="659">
        <f>SUM(J188:J189)</f>
        <v>5175000000</v>
      </c>
      <c r="K187" s="659">
        <f>SUM(K188:K189)</f>
        <v>5175000000</v>
      </c>
      <c r="L187" s="659">
        <f>SUM(L188:L189)</f>
        <v>5175000000</v>
      </c>
      <c r="M187" s="331">
        <f>SUM(M188:M189)</f>
        <v>5175000000</v>
      </c>
      <c r="N187" s="319"/>
      <c r="O187" s="319"/>
      <c r="P187" s="319"/>
      <c r="Q187" s="543"/>
      <c r="R187" s="504"/>
      <c r="S187" s="63"/>
    </row>
    <row r="188" spans="2:21" s="113" customFormat="1" ht="15.75" customHeight="1" x14ac:dyDescent="0.2">
      <c r="B188" s="59"/>
      <c r="C188" s="320"/>
      <c r="D188" s="321"/>
      <c r="E188" s="322"/>
      <c r="F188" s="64" t="s">
        <v>46</v>
      </c>
      <c r="G188" s="679" t="s">
        <v>408</v>
      </c>
      <c r="H188" s="326" t="s">
        <v>263</v>
      </c>
      <c r="I188" s="327">
        <v>0.57999999999999996</v>
      </c>
      <c r="J188" s="616">
        <f>5000000000</f>
        <v>5000000000</v>
      </c>
      <c r="K188" s="616">
        <f>5000000000</f>
        <v>5000000000</v>
      </c>
      <c r="L188" s="616">
        <f>5000000000</f>
        <v>5000000000</v>
      </c>
      <c r="M188" s="66">
        <f>5000000000</f>
        <v>5000000000</v>
      </c>
      <c r="N188" s="67"/>
      <c r="O188" s="67"/>
      <c r="P188" s="67"/>
      <c r="Q188" s="514"/>
      <c r="R188" s="490"/>
      <c r="S188" s="151"/>
    </row>
    <row r="189" spans="2:21" s="113" customFormat="1" ht="27.75" customHeight="1" x14ac:dyDescent="0.2">
      <c r="B189" s="59"/>
      <c r="C189" s="320"/>
      <c r="D189" s="321"/>
      <c r="E189" s="322"/>
      <c r="F189" s="64" t="s">
        <v>46</v>
      </c>
      <c r="G189" s="679" t="s">
        <v>407</v>
      </c>
      <c r="H189" s="326" t="s">
        <v>264</v>
      </c>
      <c r="I189" s="327">
        <v>1</v>
      </c>
      <c r="J189" s="616">
        <v>175000000</v>
      </c>
      <c r="K189" s="616">
        <v>175000000</v>
      </c>
      <c r="L189" s="616">
        <v>175000000</v>
      </c>
      <c r="M189" s="66">
        <v>175000000</v>
      </c>
      <c r="N189" s="67"/>
      <c r="O189" s="67"/>
      <c r="P189" s="67"/>
      <c r="Q189" s="514"/>
      <c r="R189" s="490"/>
      <c r="S189" s="151"/>
    </row>
    <row r="190" spans="2:21" s="62" customFormat="1" ht="27" customHeight="1" x14ac:dyDescent="0.25">
      <c r="B190" s="59"/>
      <c r="C190" s="78"/>
      <c r="D190" s="45"/>
      <c r="E190" s="329" t="s">
        <v>13</v>
      </c>
      <c r="F190" s="1563" t="s">
        <v>265</v>
      </c>
      <c r="G190" s="1564"/>
      <c r="H190" s="74" t="s">
        <v>464</v>
      </c>
      <c r="I190" s="330"/>
      <c r="J190" s="832">
        <f>SUM(J191:J192)</f>
        <v>1000000000</v>
      </c>
      <c r="K190" s="832">
        <f>SUM(K191:K192)</f>
        <v>1000000000</v>
      </c>
      <c r="L190" s="832">
        <f>SUM(L191:L192)</f>
        <v>500000000</v>
      </c>
      <c r="M190" s="833">
        <f>SUM(M191:M192)</f>
        <v>500000000</v>
      </c>
      <c r="N190" s="1010"/>
      <c r="O190" s="1010"/>
      <c r="P190" s="319"/>
      <c r="Q190" s="543"/>
      <c r="R190" s="504"/>
      <c r="S190" s="63"/>
    </row>
    <row r="191" spans="2:21" s="62" customFormat="1" ht="25.5" customHeight="1" x14ac:dyDescent="0.25">
      <c r="B191" s="59"/>
      <c r="C191" s="78"/>
      <c r="D191" s="45"/>
      <c r="E191" s="333"/>
      <c r="F191" s="301" t="s">
        <v>46</v>
      </c>
      <c r="G191" s="679" t="s">
        <v>266</v>
      </c>
      <c r="H191" s="678" t="s">
        <v>267</v>
      </c>
      <c r="I191" s="68">
        <v>1</v>
      </c>
      <c r="J191" s="616">
        <v>500000000</v>
      </c>
      <c r="K191" s="616">
        <v>500000000</v>
      </c>
      <c r="L191" s="616">
        <v>500000000</v>
      </c>
      <c r="M191" s="66">
        <v>500000000</v>
      </c>
      <c r="N191" s="67"/>
      <c r="O191" s="67"/>
      <c r="P191" s="67"/>
      <c r="Q191" s="514"/>
      <c r="R191" s="490"/>
      <c r="S191" s="63"/>
    </row>
    <row r="192" spans="2:21" s="229" customFormat="1" ht="21" customHeight="1" x14ac:dyDescent="0.25">
      <c r="B192" s="59"/>
      <c r="C192" s="334"/>
      <c r="D192" s="335"/>
      <c r="E192" s="336"/>
      <c r="F192" s="301" t="s">
        <v>46</v>
      </c>
      <c r="G192" s="679" t="s">
        <v>268</v>
      </c>
      <c r="H192" s="678" t="s">
        <v>269</v>
      </c>
      <c r="I192" s="68">
        <v>1</v>
      </c>
      <c r="J192" s="616">
        <v>500000000</v>
      </c>
      <c r="K192" s="616">
        <v>500000000</v>
      </c>
      <c r="L192" s="616">
        <v>0</v>
      </c>
      <c r="M192" s="66">
        <v>0</v>
      </c>
      <c r="N192" s="67"/>
      <c r="O192" s="67"/>
      <c r="P192" s="67"/>
      <c r="Q192" s="514"/>
      <c r="R192" s="490"/>
      <c r="S192" s="309"/>
    </row>
    <row r="193" spans="2:19" s="29" customFormat="1" ht="26.25" customHeight="1" x14ac:dyDescent="0.25">
      <c r="B193" s="13"/>
      <c r="C193" s="944"/>
      <c r="D193" s="140"/>
      <c r="E193" s="140" t="s">
        <v>16</v>
      </c>
      <c r="F193" s="1618" t="s">
        <v>270</v>
      </c>
      <c r="G193" s="1620"/>
      <c r="H193" s="855" t="s">
        <v>271</v>
      </c>
      <c r="I193" s="134"/>
      <c r="J193" s="615">
        <f>J194+J195</f>
        <v>1045000000</v>
      </c>
      <c r="K193" s="615">
        <f>K194+K195</f>
        <v>1045000000</v>
      </c>
      <c r="L193" s="615">
        <f>L194+L195</f>
        <v>1545000000</v>
      </c>
      <c r="M193" s="600">
        <f>M194+M195</f>
        <v>1545000000</v>
      </c>
      <c r="N193" s="1011"/>
      <c r="O193" s="1011"/>
      <c r="P193" s="61"/>
      <c r="Q193" s="536"/>
      <c r="R193" s="489"/>
      <c r="S193" s="63"/>
    </row>
    <row r="194" spans="2:19" s="29" customFormat="1" ht="27" customHeight="1" x14ac:dyDescent="0.25">
      <c r="B194" s="13"/>
      <c r="C194" s="87"/>
      <c r="D194" s="109"/>
      <c r="E194" s="109"/>
      <c r="F194" s="301" t="s">
        <v>46</v>
      </c>
      <c r="G194" s="679" t="s">
        <v>272</v>
      </c>
      <c r="H194" s="678" t="s">
        <v>273</v>
      </c>
      <c r="I194" s="436">
        <v>1</v>
      </c>
      <c r="J194" s="618">
        <v>1000000000</v>
      </c>
      <c r="K194" s="618">
        <v>1000000000</v>
      </c>
      <c r="L194" s="618">
        <f>1000000000+500000000</f>
        <v>1500000000</v>
      </c>
      <c r="M194" s="73">
        <f>1000000000+500000000</f>
        <v>1500000000</v>
      </c>
      <c r="N194" s="67"/>
      <c r="O194" s="67"/>
      <c r="P194" s="67"/>
      <c r="Q194" s="537"/>
      <c r="R194" s="490"/>
      <c r="S194" s="63"/>
    </row>
    <row r="195" spans="2:19" s="29" customFormat="1" ht="27" customHeight="1" x14ac:dyDescent="0.25">
      <c r="B195" s="13"/>
      <c r="C195" s="87"/>
      <c r="D195" s="109"/>
      <c r="E195" s="109"/>
      <c r="F195" s="301" t="s">
        <v>46</v>
      </c>
      <c r="G195" s="679" t="s">
        <v>274</v>
      </c>
      <c r="H195" s="678" t="s">
        <v>274</v>
      </c>
      <c r="I195" s="68">
        <v>1</v>
      </c>
      <c r="J195" s="616">
        <v>45000000</v>
      </c>
      <c r="K195" s="616">
        <v>45000000</v>
      </c>
      <c r="L195" s="616">
        <v>45000000</v>
      </c>
      <c r="M195" s="66">
        <v>45000000</v>
      </c>
      <c r="N195" s="67"/>
      <c r="O195" s="67"/>
      <c r="P195" s="67"/>
      <c r="Q195" s="514"/>
      <c r="R195" s="490"/>
      <c r="S195" s="63"/>
    </row>
    <row r="196" spans="2:19" s="62" customFormat="1" ht="31.5" customHeight="1" x14ac:dyDescent="0.25">
      <c r="B196" s="59"/>
      <c r="C196" s="78"/>
      <c r="D196" s="45"/>
      <c r="E196" s="329" t="s">
        <v>19</v>
      </c>
      <c r="F196" s="1548" t="s">
        <v>275</v>
      </c>
      <c r="G196" s="1549"/>
      <c r="H196" s="433" t="s">
        <v>276</v>
      </c>
      <c r="I196" s="435"/>
      <c r="J196" s="660">
        <f>SUM(J197:J199)</f>
        <v>8750000000</v>
      </c>
      <c r="K196" s="660">
        <f>SUM(K197:K199)</f>
        <v>8750000000</v>
      </c>
      <c r="L196" s="660">
        <f>SUM(L197:L199)</f>
        <v>8750000000</v>
      </c>
      <c r="M196" s="60">
        <f>SUM(M197:M199)</f>
        <v>8750000000</v>
      </c>
      <c r="N196" s="61"/>
      <c r="O196" s="61"/>
      <c r="P196" s="61"/>
      <c r="Q196" s="536"/>
      <c r="R196" s="489"/>
      <c r="S196" s="63"/>
    </row>
    <row r="197" spans="2:19" s="62" customFormat="1" ht="15.75" customHeight="1" x14ac:dyDescent="0.25">
      <c r="B197" s="59"/>
      <c r="C197" s="78"/>
      <c r="D197" s="45"/>
      <c r="E197" s="333"/>
      <c r="F197" s="64" t="s">
        <v>46</v>
      </c>
      <c r="G197" s="679" t="s">
        <v>277</v>
      </c>
      <c r="H197" s="678" t="s">
        <v>278</v>
      </c>
      <c r="I197" s="435">
        <v>1</v>
      </c>
      <c r="J197" s="616">
        <v>8405000000</v>
      </c>
      <c r="K197" s="616">
        <v>8405000000</v>
      </c>
      <c r="L197" s="616">
        <v>8405000000</v>
      </c>
      <c r="M197" s="66">
        <v>8405000000</v>
      </c>
      <c r="N197" s="67"/>
      <c r="O197" s="67"/>
      <c r="P197" s="67"/>
      <c r="Q197" s="536"/>
      <c r="R197" s="490"/>
      <c r="S197" s="63"/>
    </row>
    <row r="198" spans="2:19" s="62" customFormat="1" ht="27" customHeight="1" x14ac:dyDescent="0.2">
      <c r="B198" s="59"/>
      <c r="C198" s="78"/>
      <c r="D198" s="45"/>
      <c r="E198" s="333"/>
      <c r="F198" s="64" t="s">
        <v>46</v>
      </c>
      <c r="G198" s="679" t="s">
        <v>279</v>
      </c>
      <c r="H198" s="337" t="s">
        <v>280</v>
      </c>
      <c r="I198" s="435">
        <v>1</v>
      </c>
      <c r="J198" s="616">
        <v>245000000</v>
      </c>
      <c r="K198" s="616">
        <v>245000000</v>
      </c>
      <c r="L198" s="616">
        <v>245000000</v>
      </c>
      <c r="M198" s="66">
        <v>245000000</v>
      </c>
      <c r="N198" s="67"/>
      <c r="O198" s="67"/>
      <c r="P198" s="67"/>
      <c r="Q198" s="536"/>
      <c r="R198" s="490"/>
      <c r="S198" s="63"/>
    </row>
    <row r="199" spans="2:19" s="62" customFormat="1" ht="15.75" customHeight="1" x14ac:dyDescent="0.25">
      <c r="B199" s="59"/>
      <c r="C199" s="78"/>
      <c r="D199" s="45"/>
      <c r="E199" s="333"/>
      <c r="F199" s="64" t="s">
        <v>46</v>
      </c>
      <c r="G199" s="679" t="s">
        <v>281</v>
      </c>
      <c r="H199" s="678" t="s">
        <v>282</v>
      </c>
      <c r="I199" s="68">
        <v>1</v>
      </c>
      <c r="J199" s="616">
        <v>100000000</v>
      </c>
      <c r="K199" s="616">
        <v>100000000</v>
      </c>
      <c r="L199" s="616">
        <v>100000000</v>
      </c>
      <c r="M199" s="66">
        <v>100000000</v>
      </c>
      <c r="N199" s="67"/>
      <c r="O199" s="67"/>
      <c r="P199" s="67"/>
      <c r="Q199" s="514"/>
      <c r="R199" s="490"/>
      <c r="S199" s="63"/>
    </row>
    <row r="200" spans="2:19" s="29" customFormat="1" ht="26.25" customHeight="1" x14ac:dyDescent="0.25">
      <c r="B200" s="13"/>
      <c r="C200" s="87"/>
      <c r="D200" s="109"/>
      <c r="E200" s="109" t="s">
        <v>27</v>
      </c>
      <c r="F200" s="1548" t="s">
        <v>283</v>
      </c>
      <c r="G200" s="1549"/>
      <c r="H200" s="433" t="s">
        <v>284</v>
      </c>
      <c r="I200" s="435"/>
      <c r="J200" s="660">
        <f>J201+J202</f>
        <v>1045000000</v>
      </c>
      <c r="K200" s="660">
        <f>K201+K202</f>
        <v>1045000000</v>
      </c>
      <c r="L200" s="660">
        <f>L201+L202</f>
        <v>1045000000</v>
      </c>
      <c r="M200" s="60">
        <f>M201+M202</f>
        <v>1045000000</v>
      </c>
      <c r="N200" s="61"/>
      <c r="O200" s="61"/>
      <c r="P200" s="61"/>
      <c r="Q200" s="536"/>
      <c r="R200" s="489"/>
      <c r="S200" s="63"/>
    </row>
    <row r="201" spans="2:19" s="29" customFormat="1" x14ac:dyDescent="0.25">
      <c r="B201" s="13"/>
      <c r="C201" s="87"/>
      <c r="D201" s="109"/>
      <c r="E201" s="109"/>
      <c r="F201" s="64" t="s">
        <v>46</v>
      </c>
      <c r="G201" s="679" t="s">
        <v>285</v>
      </c>
      <c r="H201" s="678" t="s">
        <v>286</v>
      </c>
      <c r="I201" s="436">
        <v>1</v>
      </c>
      <c r="J201" s="618">
        <v>1000000000</v>
      </c>
      <c r="K201" s="618">
        <v>1000000000</v>
      </c>
      <c r="L201" s="618">
        <v>1000000000</v>
      </c>
      <c r="M201" s="73">
        <v>1000000000</v>
      </c>
      <c r="N201" s="67"/>
      <c r="O201" s="67"/>
      <c r="P201" s="67"/>
      <c r="Q201" s="537"/>
      <c r="R201" s="490"/>
      <c r="S201" s="63"/>
    </row>
    <row r="202" spans="2:19" s="29" customFormat="1" ht="29.25" customHeight="1" x14ac:dyDescent="0.25">
      <c r="B202" s="13"/>
      <c r="C202" s="87"/>
      <c r="D202" s="109"/>
      <c r="E202" s="109"/>
      <c r="F202" s="301" t="s">
        <v>46</v>
      </c>
      <c r="G202" s="679" t="s">
        <v>287</v>
      </c>
      <c r="H202" s="678" t="s">
        <v>288</v>
      </c>
      <c r="I202" s="68">
        <v>1</v>
      </c>
      <c r="J202" s="618">
        <v>45000000</v>
      </c>
      <c r="K202" s="618">
        <v>45000000</v>
      </c>
      <c r="L202" s="618">
        <v>45000000</v>
      </c>
      <c r="M202" s="73">
        <v>45000000</v>
      </c>
      <c r="N202" s="67"/>
      <c r="O202" s="67"/>
      <c r="P202" s="67"/>
      <c r="Q202" s="514"/>
      <c r="R202" s="490"/>
      <c r="S202" s="63"/>
    </row>
    <row r="203" spans="2:19" s="29" customFormat="1" ht="23.25" customHeight="1" x14ac:dyDescent="0.25">
      <c r="B203" s="13"/>
      <c r="C203" s="87"/>
      <c r="D203" s="109"/>
      <c r="E203" s="109" t="s">
        <v>30</v>
      </c>
      <c r="F203" s="1548" t="s">
        <v>289</v>
      </c>
      <c r="G203" s="1549"/>
      <c r="H203" s="433" t="s">
        <v>290</v>
      </c>
      <c r="I203" s="435">
        <v>1</v>
      </c>
      <c r="J203" s="660">
        <f>J204+J205</f>
        <v>3500000000</v>
      </c>
      <c r="K203" s="660">
        <f>K204+K205</f>
        <v>3500000000</v>
      </c>
      <c r="L203" s="660">
        <f>L204+L205</f>
        <v>3500000000</v>
      </c>
      <c r="M203" s="60">
        <f>M204+M205</f>
        <v>3500000000</v>
      </c>
      <c r="N203" s="61"/>
      <c r="O203" s="61"/>
      <c r="P203" s="61"/>
      <c r="Q203" s="536"/>
      <c r="R203" s="489"/>
      <c r="S203" s="63" t="s">
        <v>291</v>
      </c>
    </row>
    <row r="204" spans="2:19" s="29" customFormat="1" ht="22.5" customHeight="1" x14ac:dyDescent="0.25">
      <c r="B204" s="13"/>
      <c r="C204" s="54"/>
      <c r="D204" s="55"/>
      <c r="E204" s="55"/>
      <c r="F204" s="301" t="s">
        <v>46</v>
      </c>
      <c r="G204" s="679" t="s">
        <v>292</v>
      </c>
      <c r="H204" s="678" t="s">
        <v>293</v>
      </c>
      <c r="I204" s="437">
        <v>1</v>
      </c>
      <c r="J204" s="618">
        <f>3500000000-125000000</f>
        <v>3375000000</v>
      </c>
      <c r="K204" s="618">
        <f>3500000000-125000000</f>
        <v>3375000000</v>
      </c>
      <c r="L204" s="618">
        <f>3500000000-125000000</f>
        <v>3375000000</v>
      </c>
      <c r="M204" s="73">
        <f>3500000000-125000000</f>
        <v>3375000000</v>
      </c>
      <c r="N204" s="67"/>
      <c r="O204" s="67"/>
      <c r="P204" s="67"/>
      <c r="Q204" s="538"/>
      <c r="R204" s="490"/>
      <c r="S204" s="63" t="s">
        <v>427</v>
      </c>
    </row>
    <row r="205" spans="2:19" s="29" customFormat="1" ht="24" customHeight="1" x14ac:dyDescent="0.25">
      <c r="B205" s="13"/>
      <c r="C205" s="87"/>
      <c r="D205" s="109"/>
      <c r="E205" s="109"/>
      <c r="F205" s="301" t="s">
        <v>46</v>
      </c>
      <c r="G205" s="679" t="s">
        <v>294</v>
      </c>
      <c r="H205" s="678" t="s">
        <v>295</v>
      </c>
      <c r="I205" s="68">
        <v>1</v>
      </c>
      <c r="J205" s="616">
        <v>125000000</v>
      </c>
      <c r="K205" s="616">
        <v>125000000</v>
      </c>
      <c r="L205" s="616">
        <v>125000000</v>
      </c>
      <c r="M205" s="66">
        <v>125000000</v>
      </c>
      <c r="N205" s="67"/>
      <c r="O205" s="67"/>
      <c r="P205" s="67"/>
      <c r="Q205" s="514"/>
      <c r="R205" s="490"/>
      <c r="S205" s="63"/>
    </row>
    <row r="206" spans="2:19" s="29" customFormat="1" ht="23.25" customHeight="1" x14ac:dyDescent="0.25">
      <c r="B206" s="13"/>
      <c r="C206" s="54"/>
      <c r="D206" s="55"/>
      <c r="E206" s="55" t="s">
        <v>8</v>
      </c>
      <c r="F206" s="1548" t="s">
        <v>296</v>
      </c>
      <c r="G206" s="1549"/>
      <c r="H206" s="69" t="s">
        <v>297</v>
      </c>
      <c r="I206" s="70"/>
      <c r="J206" s="617">
        <f>SUM(J207:J209)</f>
        <v>1600000000</v>
      </c>
      <c r="K206" s="617">
        <f>SUM(K207:K209)</f>
        <v>1600000000</v>
      </c>
      <c r="L206" s="617">
        <f>SUM(L207:L209)</f>
        <v>1600000000</v>
      </c>
      <c r="M206" s="71">
        <f>SUM(M207:M209)</f>
        <v>1600000000</v>
      </c>
      <c r="N206" s="61"/>
      <c r="O206" s="61"/>
      <c r="P206" s="61"/>
      <c r="Q206" s="562"/>
      <c r="R206" s="489"/>
      <c r="S206" s="63"/>
    </row>
    <row r="207" spans="2:19" s="29" customFormat="1" ht="26.25" customHeight="1" x14ac:dyDescent="0.25">
      <c r="B207" s="13"/>
      <c r="C207" s="54"/>
      <c r="D207" s="55"/>
      <c r="E207" s="55"/>
      <c r="F207" s="301" t="s">
        <v>46</v>
      </c>
      <c r="G207" s="679" t="s">
        <v>499</v>
      </c>
      <c r="H207" s="678" t="s">
        <v>500</v>
      </c>
      <c r="I207" s="72">
        <v>1</v>
      </c>
      <c r="J207" s="618">
        <v>1490000000</v>
      </c>
      <c r="K207" s="618">
        <v>1490000000</v>
      </c>
      <c r="L207" s="618">
        <v>1490000000</v>
      </c>
      <c r="M207" s="73">
        <v>1490000000</v>
      </c>
      <c r="N207" s="67"/>
      <c r="O207" s="67"/>
      <c r="P207" s="67"/>
      <c r="Q207" s="563"/>
      <c r="R207" s="490"/>
      <c r="S207" s="63"/>
    </row>
    <row r="208" spans="2:19" s="29" customFormat="1" ht="24.75" customHeight="1" x14ac:dyDescent="0.25">
      <c r="B208" s="13"/>
      <c r="C208" s="54"/>
      <c r="D208" s="55"/>
      <c r="E208" s="55"/>
      <c r="F208" s="301" t="s">
        <v>46</v>
      </c>
      <c r="G208" s="679" t="s">
        <v>298</v>
      </c>
      <c r="H208" s="678" t="s">
        <v>299</v>
      </c>
      <c r="I208" s="72">
        <v>1</v>
      </c>
      <c r="J208" s="618">
        <v>50000000</v>
      </c>
      <c r="K208" s="618">
        <v>50000000</v>
      </c>
      <c r="L208" s="618">
        <v>50000000</v>
      </c>
      <c r="M208" s="73">
        <v>50000000</v>
      </c>
      <c r="N208" s="67"/>
      <c r="O208" s="67"/>
      <c r="P208" s="67"/>
      <c r="Q208" s="563"/>
      <c r="R208" s="490"/>
      <c r="S208" s="63"/>
    </row>
    <row r="209" spans="2:21" s="29" customFormat="1" ht="16.5" customHeight="1" x14ac:dyDescent="0.25">
      <c r="B209" s="13"/>
      <c r="C209" s="54"/>
      <c r="D209" s="55"/>
      <c r="E209" s="55"/>
      <c r="F209" s="301" t="s">
        <v>46</v>
      </c>
      <c r="G209" s="679" t="s">
        <v>300</v>
      </c>
      <c r="H209" s="678" t="s">
        <v>301</v>
      </c>
      <c r="I209" s="72">
        <v>1</v>
      </c>
      <c r="J209" s="618">
        <v>60000000</v>
      </c>
      <c r="K209" s="618">
        <v>60000000</v>
      </c>
      <c r="L209" s="618">
        <v>60000000</v>
      </c>
      <c r="M209" s="73">
        <v>60000000</v>
      </c>
      <c r="N209" s="67"/>
      <c r="O209" s="67"/>
      <c r="P209" s="67"/>
      <c r="Q209" s="563"/>
      <c r="R209" s="490"/>
      <c r="S209" s="63"/>
    </row>
    <row r="210" spans="2:21" s="349" customFormat="1" ht="23.25" customHeight="1" x14ac:dyDescent="0.25">
      <c r="B210" s="339"/>
      <c r="C210" s="347"/>
      <c r="D210" s="55"/>
      <c r="E210" s="55" t="s">
        <v>22</v>
      </c>
      <c r="F210" s="1550" t="s">
        <v>302</v>
      </c>
      <c r="G210" s="1551"/>
      <c r="H210" s="1100" t="s">
        <v>303</v>
      </c>
      <c r="I210" s="439"/>
      <c r="J210" s="617">
        <f>SUM(J211:J212)</f>
        <v>3100000000</v>
      </c>
      <c r="K210" s="617">
        <f>SUM(K211:K212)</f>
        <v>3100000000</v>
      </c>
      <c r="L210" s="617">
        <f>SUM(L211:L212)</f>
        <v>3100000000</v>
      </c>
      <c r="M210" s="71">
        <f>SUM(M211:M212)</f>
        <v>3100000000</v>
      </c>
      <c r="N210" s="61"/>
      <c r="O210" s="61"/>
      <c r="P210" s="61"/>
      <c r="Q210" s="564"/>
      <c r="R210" s="489"/>
      <c r="S210" s="350"/>
    </row>
    <row r="211" spans="2:21" s="343" customFormat="1" ht="15" customHeight="1" x14ac:dyDescent="0.25">
      <c r="B211" s="339"/>
      <c r="C211" s="340"/>
      <c r="D211" s="341"/>
      <c r="E211" s="341"/>
      <c r="F211" s="351" t="s">
        <v>46</v>
      </c>
      <c r="G211" s="131" t="s">
        <v>304</v>
      </c>
      <c r="H211" s="342" t="s">
        <v>305</v>
      </c>
      <c r="I211" s="438">
        <v>1</v>
      </c>
      <c r="J211" s="618">
        <v>3000000000</v>
      </c>
      <c r="K211" s="618">
        <v>3000000000</v>
      </c>
      <c r="L211" s="618">
        <v>3000000000</v>
      </c>
      <c r="M211" s="73">
        <v>3000000000</v>
      </c>
      <c r="N211" s="67"/>
      <c r="O211" s="67"/>
      <c r="P211" s="67"/>
      <c r="Q211" s="565"/>
      <c r="R211" s="490"/>
      <c r="S211" s="344"/>
    </row>
    <row r="212" spans="2:21" s="343" customFormat="1" ht="12.75" customHeight="1" x14ac:dyDescent="0.25">
      <c r="B212" s="339"/>
      <c r="C212" s="340"/>
      <c r="D212" s="341"/>
      <c r="E212" s="341"/>
      <c r="F212" s="351" t="s">
        <v>46</v>
      </c>
      <c r="G212" s="131" t="s">
        <v>306</v>
      </c>
      <c r="H212" s="342" t="s">
        <v>307</v>
      </c>
      <c r="I212" s="438">
        <v>1</v>
      </c>
      <c r="J212" s="618">
        <v>100000000</v>
      </c>
      <c r="K212" s="618">
        <v>100000000</v>
      </c>
      <c r="L212" s="618">
        <v>100000000</v>
      </c>
      <c r="M212" s="73">
        <v>100000000</v>
      </c>
      <c r="N212" s="67"/>
      <c r="O212" s="67"/>
      <c r="P212" s="67"/>
      <c r="Q212" s="565"/>
      <c r="R212" s="490"/>
      <c r="S212" s="344"/>
    </row>
    <row r="213" spans="2:21" s="343" customFormat="1" ht="23.25" customHeight="1" x14ac:dyDescent="0.25">
      <c r="B213" s="339"/>
      <c r="C213" s="766"/>
      <c r="D213" s="759"/>
      <c r="E213" s="759" t="s">
        <v>210</v>
      </c>
      <c r="F213" s="1563" t="s">
        <v>308</v>
      </c>
      <c r="G213" s="1564"/>
      <c r="H213" s="767" t="s">
        <v>309</v>
      </c>
      <c r="I213" s="768">
        <v>1</v>
      </c>
      <c r="J213" s="687">
        <f>2500000000-323917029-50000000</f>
        <v>2126082971</v>
      </c>
      <c r="K213" s="687">
        <f>2500000000-323917029-50000000</f>
        <v>2126082971</v>
      </c>
      <c r="L213" s="687">
        <v>600000000</v>
      </c>
      <c r="M213" s="688">
        <v>600000000</v>
      </c>
      <c r="N213" s="1011"/>
      <c r="O213" s="1011"/>
      <c r="P213" s="61"/>
      <c r="Q213" s="565"/>
      <c r="R213" s="489"/>
      <c r="S213" s="344"/>
    </row>
    <row r="214" spans="2:21" s="345" customFormat="1" ht="23.25" customHeight="1" x14ac:dyDescent="0.25">
      <c r="B214" s="339"/>
      <c r="C214" s="54"/>
      <c r="D214" s="55"/>
      <c r="E214" s="55">
        <v>11</v>
      </c>
      <c r="F214" s="1550" t="s">
        <v>310</v>
      </c>
      <c r="G214" s="1551"/>
      <c r="H214" s="342" t="s">
        <v>416</v>
      </c>
      <c r="I214" s="440"/>
      <c r="J214" s="617">
        <f>J215+J216</f>
        <v>800000000</v>
      </c>
      <c r="K214" s="617">
        <f>K215+K216</f>
        <v>800000000</v>
      </c>
      <c r="L214" s="617">
        <f>L215+L216</f>
        <v>800000000</v>
      </c>
      <c r="M214" s="71">
        <f>M215+M216</f>
        <v>800000000</v>
      </c>
      <c r="N214" s="61"/>
      <c r="O214" s="61"/>
      <c r="P214" s="61"/>
      <c r="Q214" s="566"/>
      <c r="R214" s="489"/>
      <c r="S214" s="346"/>
    </row>
    <row r="215" spans="2:21" s="343" customFormat="1" ht="27" customHeight="1" x14ac:dyDescent="0.25">
      <c r="B215" s="339"/>
      <c r="C215" s="340"/>
      <c r="D215" s="341"/>
      <c r="E215" s="341"/>
      <c r="F215" s="720" t="s">
        <v>46</v>
      </c>
      <c r="G215" s="131" t="s">
        <v>311</v>
      </c>
      <c r="H215" s="342" t="s">
        <v>312</v>
      </c>
      <c r="I215" s="438"/>
      <c r="J215" s="618">
        <v>500000000</v>
      </c>
      <c r="K215" s="618">
        <v>500000000</v>
      </c>
      <c r="L215" s="618">
        <v>500000000</v>
      </c>
      <c r="M215" s="73">
        <v>500000000</v>
      </c>
      <c r="N215" s="67"/>
      <c r="O215" s="67"/>
      <c r="P215" s="67"/>
      <c r="Q215" s="565"/>
      <c r="R215" s="490"/>
      <c r="S215" s="344"/>
    </row>
    <row r="216" spans="2:21" s="343" customFormat="1" ht="25.5" customHeight="1" x14ac:dyDescent="0.25">
      <c r="B216" s="339"/>
      <c r="C216" s="340"/>
      <c r="D216" s="341"/>
      <c r="E216" s="341"/>
      <c r="F216" s="720" t="s">
        <v>46</v>
      </c>
      <c r="G216" s="131" t="s">
        <v>313</v>
      </c>
      <c r="H216" s="342" t="s">
        <v>314</v>
      </c>
      <c r="I216" s="438"/>
      <c r="J216" s="618">
        <v>300000000</v>
      </c>
      <c r="K216" s="618">
        <v>300000000</v>
      </c>
      <c r="L216" s="618">
        <v>300000000</v>
      </c>
      <c r="M216" s="73">
        <v>300000000</v>
      </c>
      <c r="N216" s="67"/>
      <c r="O216" s="67"/>
      <c r="P216" s="67"/>
      <c r="Q216" s="565"/>
      <c r="R216" s="490"/>
      <c r="S216" s="344"/>
    </row>
    <row r="217" spans="2:21" s="29" customFormat="1" ht="27" customHeight="1" x14ac:dyDescent="0.25">
      <c r="B217" s="13"/>
      <c r="C217" s="87"/>
      <c r="D217" s="109"/>
      <c r="E217" s="109">
        <v>12</v>
      </c>
      <c r="F217" s="1542" t="s">
        <v>315</v>
      </c>
      <c r="G217" s="1543"/>
      <c r="H217" s="434" t="s">
        <v>316</v>
      </c>
      <c r="I217" s="353">
        <v>1</v>
      </c>
      <c r="J217" s="660">
        <v>200000000</v>
      </c>
      <c r="K217" s="660">
        <v>200000000</v>
      </c>
      <c r="L217" s="660">
        <v>200000000</v>
      </c>
      <c r="M217" s="60">
        <v>200000000</v>
      </c>
      <c r="N217" s="61"/>
      <c r="O217" s="61"/>
      <c r="P217" s="61"/>
      <c r="Q217" s="567"/>
      <c r="R217" s="489"/>
      <c r="S217" s="28"/>
    </row>
    <row r="218" spans="2:21" s="29" customFormat="1" ht="26.25" customHeight="1" x14ac:dyDescent="0.25">
      <c r="B218" s="13"/>
      <c r="C218" s="771"/>
      <c r="D218" s="140"/>
      <c r="E218" s="140">
        <v>13</v>
      </c>
      <c r="F218" s="1712" t="s">
        <v>317</v>
      </c>
      <c r="G218" s="1713"/>
      <c r="H218" s="772" t="s">
        <v>318</v>
      </c>
      <c r="I218" s="773" t="s">
        <v>319</v>
      </c>
      <c r="J218" s="717">
        <v>100000000</v>
      </c>
      <c r="K218" s="717">
        <v>100000000</v>
      </c>
      <c r="L218" s="717">
        <v>300000000</v>
      </c>
      <c r="M218" s="718">
        <v>300000000</v>
      </c>
      <c r="N218" s="1012"/>
      <c r="O218" s="1012"/>
      <c r="P218" s="7"/>
      <c r="Q218" s="568"/>
      <c r="R218" s="1107"/>
      <c r="S218" s="28"/>
    </row>
    <row r="219" spans="2:21" s="29" customFormat="1" ht="20.25" customHeight="1" x14ac:dyDescent="0.25">
      <c r="B219" s="13"/>
      <c r="C219" s="771"/>
      <c r="D219" s="140"/>
      <c r="E219" s="140">
        <v>14</v>
      </c>
      <c r="F219" s="1582" t="s">
        <v>320</v>
      </c>
      <c r="G219" s="1583"/>
      <c r="H219" s="772" t="s">
        <v>321</v>
      </c>
      <c r="I219" s="773" t="s">
        <v>319</v>
      </c>
      <c r="J219" s="717">
        <v>200000000</v>
      </c>
      <c r="K219" s="717">
        <v>200000000</v>
      </c>
      <c r="L219" s="717">
        <v>600000000</v>
      </c>
      <c r="M219" s="718">
        <v>600000000</v>
      </c>
      <c r="N219" s="1012"/>
      <c r="O219" s="1012"/>
      <c r="P219" s="7"/>
      <c r="Q219" s="568"/>
      <c r="R219" s="1107"/>
      <c r="S219" s="28"/>
    </row>
    <row r="220" spans="2:21" s="62" customFormat="1" ht="38.25" customHeight="1" x14ac:dyDescent="0.25">
      <c r="B220" s="59"/>
      <c r="C220" s="771"/>
      <c r="D220" s="140"/>
      <c r="E220" s="140">
        <v>15</v>
      </c>
      <c r="F220" s="1712" t="s">
        <v>322</v>
      </c>
      <c r="G220" s="1713"/>
      <c r="H220" s="772" t="s">
        <v>323</v>
      </c>
      <c r="I220" s="777" t="s">
        <v>86</v>
      </c>
      <c r="J220" s="717">
        <v>100000000</v>
      </c>
      <c r="K220" s="717">
        <v>100000000</v>
      </c>
      <c r="L220" s="717">
        <v>250000000</v>
      </c>
      <c r="M220" s="718">
        <v>250000000</v>
      </c>
      <c r="N220" s="1012"/>
      <c r="O220" s="1012"/>
      <c r="P220" s="7"/>
      <c r="Q220" s="569"/>
      <c r="R220" s="1107"/>
      <c r="S220" s="148"/>
    </row>
    <row r="221" spans="2:21" s="29" customFormat="1" ht="26.25" customHeight="1" x14ac:dyDescent="0.25">
      <c r="B221" s="13"/>
      <c r="C221" s="87"/>
      <c r="D221" s="109"/>
      <c r="E221" s="109">
        <v>16</v>
      </c>
      <c r="F221" s="1542" t="s">
        <v>324</v>
      </c>
      <c r="G221" s="1543"/>
      <c r="H221" s="352" t="s">
        <v>325</v>
      </c>
      <c r="I221" s="353">
        <v>1</v>
      </c>
      <c r="J221" s="660">
        <v>200000000</v>
      </c>
      <c r="K221" s="660">
        <v>200000000</v>
      </c>
      <c r="L221" s="660">
        <v>200000000</v>
      </c>
      <c r="M221" s="60">
        <v>200000000</v>
      </c>
      <c r="N221" s="61"/>
      <c r="O221" s="61"/>
      <c r="P221" s="61"/>
      <c r="Q221" s="567"/>
      <c r="R221" s="489"/>
      <c r="S221" s="28"/>
    </row>
    <row r="222" spans="2:21" ht="3" customHeight="1" x14ac:dyDescent="0.25">
      <c r="C222" s="95"/>
      <c r="D222" s="96"/>
      <c r="E222" s="96"/>
      <c r="F222" s="1540"/>
      <c r="G222" s="1541"/>
      <c r="H222" s="355"/>
      <c r="I222" s="356"/>
      <c r="J222" s="661"/>
      <c r="K222" s="661"/>
      <c r="L222" s="661"/>
      <c r="M222" s="357"/>
      <c r="N222" s="1013"/>
      <c r="O222" s="1013"/>
      <c r="P222" s="358"/>
      <c r="Q222" s="570"/>
      <c r="R222" s="505"/>
    </row>
    <row r="223" spans="2:21" s="15" customFormat="1" ht="25.5" customHeight="1" x14ac:dyDescent="0.25">
      <c r="B223" s="13"/>
      <c r="C223" s="1506" t="s">
        <v>456</v>
      </c>
      <c r="D223" s="1507"/>
      <c r="E223" s="1535" t="s">
        <v>326</v>
      </c>
      <c r="F223" s="1536"/>
      <c r="G223" s="1537"/>
      <c r="H223" s="359" t="s">
        <v>327</v>
      </c>
      <c r="I223" s="360"/>
      <c r="J223" s="641">
        <f>SUM(J224:J225)</f>
        <v>750000000</v>
      </c>
      <c r="K223" s="641">
        <f>SUM(K224:K225)</f>
        <v>750000000</v>
      </c>
      <c r="L223" s="641">
        <f>SUM(L224:L225)</f>
        <v>750000000</v>
      </c>
      <c r="M223" s="233">
        <f>SUM(M224:M225)</f>
        <v>750000000</v>
      </c>
      <c r="N223" s="1001"/>
      <c r="O223" s="1001"/>
      <c r="P223" s="26"/>
      <c r="Q223" s="571"/>
      <c r="R223" s="495"/>
    </row>
    <row r="224" spans="2:21" s="29" customFormat="1" ht="18" customHeight="1" x14ac:dyDescent="0.25">
      <c r="B224" s="13"/>
      <c r="C224" s="39"/>
      <c r="D224" s="140"/>
      <c r="E224" s="109" t="s">
        <v>5</v>
      </c>
      <c r="F224" s="1533" t="s">
        <v>329</v>
      </c>
      <c r="G224" s="1534"/>
      <c r="H224" s="141" t="s">
        <v>330</v>
      </c>
      <c r="I224" s="142" t="s">
        <v>328</v>
      </c>
      <c r="J224" s="629">
        <v>400000000</v>
      </c>
      <c r="K224" s="629">
        <v>400000000</v>
      </c>
      <c r="L224" s="629">
        <v>400000000</v>
      </c>
      <c r="M224" s="143">
        <v>400000000</v>
      </c>
      <c r="N224" s="144"/>
      <c r="O224" s="144"/>
      <c r="P224" s="144"/>
      <c r="Q224" s="561"/>
      <c r="R224" s="492"/>
      <c r="U224" s="145"/>
    </row>
    <row r="225" spans="2:21" s="29" customFormat="1" ht="18" customHeight="1" x14ac:dyDescent="0.25">
      <c r="B225" s="13"/>
      <c r="C225" s="39"/>
      <c r="D225" s="140"/>
      <c r="E225" s="109" t="s">
        <v>10</v>
      </c>
      <c r="F225" s="1533" t="s">
        <v>331</v>
      </c>
      <c r="G225" s="1534"/>
      <c r="H225" s="141" t="s">
        <v>332</v>
      </c>
      <c r="I225" s="142" t="s">
        <v>319</v>
      </c>
      <c r="J225" s="629">
        <v>350000000</v>
      </c>
      <c r="K225" s="629">
        <v>350000000</v>
      </c>
      <c r="L225" s="629">
        <v>350000000</v>
      </c>
      <c r="M225" s="143">
        <v>350000000</v>
      </c>
      <c r="N225" s="144"/>
      <c r="O225" s="144"/>
      <c r="P225" s="144"/>
      <c r="Q225" s="561"/>
      <c r="R225" s="492"/>
      <c r="U225" s="145"/>
    </row>
    <row r="226" spans="2:21" ht="5.25" customHeight="1" x14ac:dyDescent="0.25">
      <c r="C226" s="363"/>
      <c r="D226" s="364"/>
      <c r="E226" s="276"/>
      <c r="F226" s="365"/>
      <c r="G226" s="366"/>
      <c r="H226" s="367"/>
      <c r="I226" s="368"/>
      <c r="J226" s="651"/>
      <c r="K226" s="651"/>
      <c r="L226" s="651"/>
      <c r="M226" s="290"/>
      <c r="N226" s="1007"/>
      <c r="O226" s="1007"/>
      <c r="Q226" s="572"/>
      <c r="U226" s="230"/>
    </row>
    <row r="227" spans="2:21" s="15" customFormat="1" ht="27.75" customHeight="1" x14ac:dyDescent="0.25">
      <c r="B227" s="13"/>
      <c r="C227" s="1506" t="s">
        <v>457</v>
      </c>
      <c r="D227" s="1507"/>
      <c r="E227" s="1535" t="s">
        <v>333</v>
      </c>
      <c r="F227" s="1536"/>
      <c r="G227" s="1537"/>
      <c r="H227" s="359" t="s">
        <v>334</v>
      </c>
      <c r="I227" s="360"/>
      <c r="J227" s="641">
        <f>J228+J229</f>
        <v>2200000000</v>
      </c>
      <c r="K227" s="641">
        <f>K228+K229</f>
        <v>2200000000</v>
      </c>
      <c r="L227" s="641">
        <f>L228+L229</f>
        <v>2976082971</v>
      </c>
      <c r="M227" s="233">
        <f>M228+M229</f>
        <v>2976082971</v>
      </c>
      <c r="N227" s="1001"/>
      <c r="O227" s="1001"/>
      <c r="P227" s="26"/>
      <c r="Q227" s="571"/>
      <c r="R227" s="495"/>
    </row>
    <row r="228" spans="2:21" s="29" customFormat="1" ht="15.75" customHeight="1" x14ac:dyDescent="0.25">
      <c r="B228" s="13"/>
      <c r="C228" s="39"/>
      <c r="D228" s="140"/>
      <c r="E228" s="109" t="s">
        <v>5</v>
      </c>
      <c r="F228" s="1538" t="s">
        <v>335</v>
      </c>
      <c r="G228" s="1539"/>
      <c r="H228" s="141" t="s">
        <v>336</v>
      </c>
      <c r="I228" s="142" t="s">
        <v>109</v>
      </c>
      <c r="J228" s="629">
        <f>2000000000</f>
        <v>2000000000</v>
      </c>
      <c r="K228" s="629">
        <f>2000000000</f>
        <v>2000000000</v>
      </c>
      <c r="L228" s="629">
        <f>2000000000+776082971</f>
        <v>2776082971</v>
      </c>
      <c r="M228" s="143">
        <f>2000000000+776082971</f>
        <v>2776082971</v>
      </c>
      <c r="N228" s="144"/>
      <c r="O228" s="144"/>
      <c r="P228" s="144"/>
      <c r="Q228" s="561"/>
      <c r="R228" s="492"/>
    </row>
    <row r="229" spans="2:21" s="362" customFormat="1" ht="15.75" customHeight="1" x14ac:dyDescent="0.25">
      <c r="B229" s="13"/>
      <c r="C229" s="39"/>
      <c r="D229" s="140"/>
      <c r="E229" s="109" t="s">
        <v>10</v>
      </c>
      <c r="F229" s="1533" t="s">
        <v>339</v>
      </c>
      <c r="G229" s="1534"/>
      <c r="H229" s="141" t="s">
        <v>340</v>
      </c>
      <c r="I229" s="370" t="s">
        <v>244</v>
      </c>
      <c r="J229" s="662">
        <v>200000000</v>
      </c>
      <c r="K229" s="662">
        <v>200000000</v>
      </c>
      <c r="L229" s="662">
        <v>200000000</v>
      </c>
      <c r="M229" s="371">
        <v>200000000</v>
      </c>
      <c r="N229" s="144"/>
      <c r="O229" s="144"/>
      <c r="P229" s="144"/>
      <c r="Q229" s="573"/>
      <c r="R229" s="492"/>
      <c r="S229" s="361"/>
      <c r="U229" s="361"/>
    </row>
    <row r="230" spans="2:21" ht="3.75" customHeight="1" x14ac:dyDescent="0.25">
      <c r="C230" s="363"/>
      <c r="D230" s="364"/>
      <c r="E230" s="276"/>
      <c r="F230" s="365"/>
      <c r="G230" s="366"/>
      <c r="H230" s="367"/>
      <c r="I230" s="368"/>
      <c r="J230" s="651"/>
      <c r="K230" s="651"/>
      <c r="L230" s="651"/>
      <c r="M230" s="290"/>
      <c r="N230" s="1007"/>
      <c r="O230" s="1007"/>
      <c r="Q230" s="572"/>
      <c r="U230" s="230"/>
    </row>
    <row r="231" spans="2:21" s="15" customFormat="1" ht="28.5" customHeight="1" x14ac:dyDescent="0.25">
      <c r="B231" s="13"/>
      <c r="C231" s="1506" t="s">
        <v>458</v>
      </c>
      <c r="D231" s="1507"/>
      <c r="E231" s="1535" t="s">
        <v>341</v>
      </c>
      <c r="F231" s="1536"/>
      <c r="G231" s="1537"/>
      <c r="H231" s="359" t="s">
        <v>342</v>
      </c>
      <c r="I231" s="360"/>
      <c r="J231" s="641">
        <f>SUM(J232:J236)</f>
        <v>1550000000</v>
      </c>
      <c r="K231" s="641">
        <f>SUM(K232:K236)</f>
        <v>1550000000</v>
      </c>
      <c r="L231" s="641">
        <f>SUM(L232:L236)</f>
        <v>1550000000</v>
      </c>
      <c r="M231" s="233">
        <f>SUM(M232:M236)</f>
        <v>1550000000</v>
      </c>
      <c r="N231" s="1001"/>
      <c r="O231" s="1001"/>
      <c r="P231" s="26"/>
      <c r="Q231" s="571"/>
      <c r="R231" s="495"/>
    </row>
    <row r="232" spans="2:21" s="29" customFormat="1" ht="21" customHeight="1" x14ac:dyDescent="0.25">
      <c r="B232" s="13"/>
      <c r="C232" s="39"/>
      <c r="D232" s="140"/>
      <c r="E232" s="109" t="s">
        <v>5</v>
      </c>
      <c r="F232" s="1533" t="s">
        <v>343</v>
      </c>
      <c r="G232" s="1534"/>
      <c r="H232" s="172" t="s">
        <v>344</v>
      </c>
      <c r="I232" s="370" t="s">
        <v>345</v>
      </c>
      <c r="J232" s="662">
        <v>600000000</v>
      </c>
      <c r="K232" s="662">
        <v>600000000</v>
      </c>
      <c r="L232" s="662">
        <v>600000000</v>
      </c>
      <c r="M232" s="371">
        <v>600000000</v>
      </c>
      <c r="N232" s="144"/>
      <c r="O232" s="144"/>
      <c r="P232" s="144"/>
      <c r="Q232" s="573"/>
      <c r="R232" s="492"/>
      <c r="U232" s="145"/>
    </row>
    <row r="233" spans="2:21" s="29" customFormat="1" ht="15.75" customHeight="1" x14ac:dyDescent="0.25">
      <c r="B233" s="13"/>
      <c r="C233" s="39"/>
      <c r="D233" s="140"/>
      <c r="E233" s="109" t="s">
        <v>10</v>
      </c>
      <c r="F233" s="1533" t="s">
        <v>346</v>
      </c>
      <c r="G233" s="1534"/>
      <c r="H233" s="369" t="s">
        <v>347</v>
      </c>
      <c r="I233" s="370" t="s">
        <v>348</v>
      </c>
      <c r="J233" s="662">
        <v>400000000</v>
      </c>
      <c r="K233" s="662">
        <v>400000000</v>
      </c>
      <c r="L233" s="662">
        <v>400000000</v>
      </c>
      <c r="M233" s="371">
        <v>400000000</v>
      </c>
      <c r="N233" s="144"/>
      <c r="O233" s="144"/>
      <c r="P233" s="144"/>
      <c r="Q233" s="573"/>
      <c r="R233" s="492"/>
      <c r="U233" s="145"/>
    </row>
    <row r="234" spans="2:21" s="29" customFormat="1" ht="25.5" customHeight="1" x14ac:dyDescent="0.25">
      <c r="B234" s="13"/>
      <c r="C234" s="39"/>
      <c r="D234" s="140"/>
      <c r="E234" s="109" t="s">
        <v>13</v>
      </c>
      <c r="F234" s="1531" t="s">
        <v>349</v>
      </c>
      <c r="G234" s="1532"/>
      <c r="H234" s="141" t="s">
        <v>350</v>
      </c>
      <c r="I234" s="142" t="s">
        <v>351</v>
      </c>
      <c r="J234" s="663">
        <v>200000000</v>
      </c>
      <c r="K234" s="663">
        <v>200000000</v>
      </c>
      <c r="L234" s="663">
        <v>200000000</v>
      </c>
      <c r="M234" s="372">
        <v>200000000</v>
      </c>
      <c r="N234" s="373"/>
      <c r="O234" s="373"/>
      <c r="P234" s="373"/>
      <c r="Q234" s="561"/>
      <c r="R234" s="492"/>
    </row>
    <row r="235" spans="2:21" s="29" customFormat="1" ht="26.25" customHeight="1" x14ac:dyDescent="0.25">
      <c r="B235" s="13"/>
      <c r="C235" s="39"/>
      <c r="D235" s="140"/>
      <c r="E235" s="109" t="s">
        <v>16</v>
      </c>
      <c r="F235" s="1533" t="s">
        <v>352</v>
      </c>
      <c r="G235" s="1534"/>
      <c r="H235" s="141" t="s">
        <v>350</v>
      </c>
      <c r="I235" s="142" t="s">
        <v>351</v>
      </c>
      <c r="J235" s="629">
        <v>200000000</v>
      </c>
      <c r="K235" s="629">
        <v>200000000</v>
      </c>
      <c r="L235" s="629">
        <v>200000000</v>
      </c>
      <c r="M235" s="143">
        <v>200000000</v>
      </c>
      <c r="N235" s="144"/>
      <c r="O235" s="144"/>
      <c r="P235" s="144"/>
      <c r="Q235" s="561"/>
      <c r="R235" s="492"/>
      <c r="U235" s="145"/>
    </row>
    <row r="236" spans="2:21" s="29" customFormat="1" ht="15.75" customHeight="1" x14ac:dyDescent="0.25">
      <c r="B236" s="13"/>
      <c r="C236" s="39"/>
      <c r="D236" s="140"/>
      <c r="E236" s="109" t="s">
        <v>19</v>
      </c>
      <c r="F236" s="1533" t="s">
        <v>353</v>
      </c>
      <c r="G236" s="1534"/>
      <c r="H236" s="141" t="s">
        <v>354</v>
      </c>
      <c r="I236" s="142" t="s">
        <v>92</v>
      </c>
      <c r="J236" s="629">
        <v>150000000</v>
      </c>
      <c r="K236" s="629">
        <v>150000000</v>
      </c>
      <c r="L236" s="629">
        <v>150000000</v>
      </c>
      <c r="M236" s="143">
        <v>150000000</v>
      </c>
      <c r="N236" s="144"/>
      <c r="O236" s="144"/>
      <c r="P236" s="144"/>
      <c r="Q236" s="561"/>
      <c r="R236" s="492"/>
      <c r="U236" s="145"/>
    </row>
    <row r="237" spans="2:21" s="229" customFormat="1" ht="4.5" customHeight="1" x14ac:dyDescent="0.25">
      <c r="B237" s="59"/>
      <c r="C237" s="374"/>
      <c r="D237" s="375"/>
      <c r="E237" s="375"/>
      <c r="F237" s="1527"/>
      <c r="G237" s="1528"/>
      <c r="H237" s="376"/>
      <c r="I237" s="377"/>
      <c r="J237" s="664"/>
      <c r="K237" s="664"/>
      <c r="L237" s="664"/>
      <c r="M237" s="378"/>
      <c r="N237" s="101"/>
      <c r="O237" s="101"/>
      <c r="P237" s="101"/>
      <c r="Q237" s="574"/>
      <c r="R237" s="491"/>
      <c r="U237" s="309"/>
    </row>
    <row r="238" spans="2:21" s="15" customFormat="1" ht="37.5" customHeight="1" x14ac:dyDescent="0.25">
      <c r="B238" s="13"/>
      <c r="C238" s="1501" t="s">
        <v>459</v>
      </c>
      <c r="D238" s="1502"/>
      <c r="E238" s="1512" t="s">
        <v>355</v>
      </c>
      <c r="F238" s="1513"/>
      <c r="G238" s="1514"/>
      <c r="H238" s="231" t="s">
        <v>356</v>
      </c>
      <c r="I238" s="379"/>
      <c r="J238" s="649">
        <f>J239+J242+J244+J247+J248+J249+J251+J252</f>
        <v>5200000000</v>
      </c>
      <c r="K238" s="649">
        <f>K239+K242+K244+K247+K248+K249+K251+K252</f>
        <v>5200000000</v>
      </c>
      <c r="L238" s="649">
        <f>L239+L242+L244+L247+L248+L249+L251+L252</f>
        <v>5200000000</v>
      </c>
      <c r="M238" s="283">
        <f>M239+M242+M244+M247+M248+M249+M251+M252</f>
        <v>5200000000</v>
      </c>
      <c r="N238" s="1005"/>
      <c r="O238" s="1005"/>
      <c r="P238" s="104"/>
      <c r="Q238" s="575"/>
      <c r="R238" s="14"/>
      <c r="S238" s="145"/>
      <c r="U238" s="145"/>
    </row>
    <row r="239" spans="2:21" s="82" customFormat="1" ht="24.75" customHeight="1" x14ac:dyDescent="0.25">
      <c r="B239" s="59"/>
      <c r="C239" s="49"/>
      <c r="D239" s="79"/>
      <c r="E239" s="140" t="s">
        <v>5</v>
      </c>
      <c r="F239" s="1529" t="s">
        <v>357</v>
      </c>
      <c r="G239" s="1530"/>
      <c r="H239" s="380" t="s">
        <v>358</v>
      </c>
      <c r="I239" s="381" t="s">
        <v>244</v>
      </c>
      <c r="J239" s="659">
        <f>J240+J241</f>
        <v>950000000</v>
      </c>
      <c r="K239" s="659">
        <f>K240+K241</f>
        <v>950000000</v>
      </c>
      <c r="L239" s="659">
        <f>L240+L241</f>
        <v>950000000</v>
      </c>
      <c r="M239" s="331">
        <f>M240+M241</f>
        <v>950000000</v>
      </c>
      <c r="N239" s="319"/>
      <c r="O239" s="319"/>
      <c r="P239" s="319"/>
      <c r="Q239" s="576"/>
      <c r="R239" s="504"/>
      <c r="S239" s="63"/>
      <c r="U239" s="63"/>
    </row>
    <row r="240" spans="2:21" s="82" customFormat="1" ht="16.5" customHeight="1" x14ac:dyDescent="0.25">
      <c r="B240" s="59"/>
      <c r="C240" s="49"/>
      <c r="D240" s="79"/>
      <c r="E240" s="40"/>
      <c r="F240" s="382" t="s">
        <v>46</v>
      </c>
      <c r="G240" s="383" t="s">
        <v>357</v>
      </c>
      <c r="H240" s="384"/>
      <c r="I240" s="385"/>
      <c r="J240" s="665">
        <v>550000000</v>
      </c>
      <c r="K240" s="665">
        <v>550000000</v>
      </c>
      <c r="L240" s="665">
        <v>550000000</v>
      </c>
      <c r="M240" s="386">
        <v>550000000</v>
      </c>
      <c r="N240" s="387"/>
      <c r="O240" s="387"/>
      <c r="P240" s="387"/>
      <c r="Q240" s="577"/>
      <c r="R240" s="506"/>
      <c r="S240" s="63"/>
      <c r="U240" s="63"/>
    </row>
    <row r="241" spans="2:21" s="306" customFormat="1" x14ac:dyDescent="0.25">
      <c r="B241" s="13"/>
      <c r="C241" s="263"/>
      <c r="D241" s="388"/>
      <c r="E241" s="156"/>
      <c r="F241" s="389" t="s">
        <v>46</v>
      </c>
      <c r="G241" s="390" t="s">
        <v>359</v>
      </c>
      <c r="H241" s="391"/>
      <c r="I241" s="392"/>
      <c r="J241" s="666">
        <v>400000000</v>
      </c>
      <c r="K241" s="666">
        <v>400000000</v>
      </c>
      <c r="L241" s="666">
        <v>400000000</v>
      </c>
      <c r="M241" s="393">
        <v>400000000</v>
      </c>
      <c r="N241" s="387"/>
      <c r="O241" s="387"/>
      <c r="P241" s="387"/>
      <c r="Q241" s="578"/>
      <c r="R241" s="506"/>
      <c r="U241" s="307"/>
    </row>
    <row r="242" spans="2:21" s="29" customFormat="1" ht="21.75" customHeight="1" x14ac:dyDescent="0.25">
      <c r="B242" s="13"/>
      <c r="C242" s="49"/>
      <c r="D242" s="79"/>
      <c r="E242" s="109" t="s">
        <v>10</v>
      </c>
      <c r="F242" s="1517" t="s">
        <v>360</v>
      </c>
      <c r="G242" s="1518"/>
      <c r="H242" s="394" t="s">
        <v>361</v>
      </c>
      <c r="I242" s="381" t="s">
        <v>244</v>
      </c>
      <c r="J242" s="667">
        <f>J243</f>
        <v>1000000000</v>
      </c>
      <c r="K242" s="667">
        <f>K243</f>
        <v>1000000000</v>
      </c>
      <c r="L242" s="667">
        <f>L243</f>
        <v>1000000000</v>
      </c>
      <c r="M242" s="395">
        <f>M243</f>
        <v>1000000000</v>
      </c>
      <c r="N242" s="319"/>
      <c r="O242" s="319"/>
      <c r="P242" s="319"/>
      <c r="Q242" s="576"/>
      <c r="R242" s="504"/>
      <c r="U242" s="145"/>
    </row>
    <row r="243" spans="2:21" s="306" customFormat="1" ht="27.75" customHeight="1" x14ac:dyDescent="0.25">
      <c r="B243" s="13"/>
      <c r="C243" s="263"/>
      <c r="D243" s="388"/>
      <c r="E243" s="156"/>
      <c r="F243" s="389" t="s">
        <v>46</v>
      </c>
      <c r="G243" s="390" t="s">
        <v>362</v>
      </c>
      <c r="H243" s="391"/>
      <c r="I243" s="392"/>
      <c r="J243" s="666">
        <v>1000000000</v>
      </c>
      <c r="K243" s="666">
        <v>1000000000</v>
      </c>
      <c r="L243" s="666">
        <v>1000000000</v>
      </c>
      <c r="M243" s="393">
        <v>1000000000</v>
      </c>
      <c r="N243" s="387"/>
      <c r="O243" s="387"/>
      <c r="P243" s="387"/>
      <c r="Q243" s="578"/>
      <c r="R243" s="506"/>
      <c r="S243" s="307"/>
      <c r="U243" s="307"/>
    </row>
    <row r="244" spans="2:21" s="29" customFormat="1" ht="21.75" customHeight="1" x14ac:dyDescent="0.25">
      <c r="B244" s="13"/>
      <c r="C244" s="49"/>
      <c r="D244" s="79"/>
      <c r="E244" s="109" t="s">
        <v>13</v>
      </c>
      <c r="F244" s="1519" t="s">
        <v>363</v>
      </c>
      <c r="G244" s="1520"/>
      <c r="H244" s="394" t="s">
        <v>364</v>
      </c>
      <c r="I244" s="381" t="s">
        <v>365</v>
      </c>
      <c r="J244" s="667">
        <f>SUM(J245:J246)</f>
        <v>550000000</v>
      </c>
      <c r="K244" s="667">
        <f>SUM(K245:K246)</f>
        <v>550000000</v>
      </c>
      <c r="L244" s="667">
        <f>SUM(L245:L246)</f>
        <v>550000000</v>
      </c>
      <c r="M244" s="395">
        <f>SUM(M245:M246)</f>
        <v>550000000</v>
      </c>
      <c r="N244" s="319"/>
      <c r="O244" s="319"/>
      <c r="P244" s="319"/>
      <c r="Q244" s="576"/>
      <c r="R244" s="504"/>
      <c r="S244" s="396"/>
      <c r="U244" s="145"/>
    </row>
    <row r="245" spans="2:21" s="306" customFormat="1" ht="15" customHeight="1" x14ac:dyDescent="0.25">
      <c r="B245" s="13"/>
      <c r="C245" s="263"/>
      <c r="D245" s="388"/>
      <c r="E245" s="156"/>
      <c r="F245" s="397" t="s">
        <v>46</v>
      </c>
      <c r="G245" s="398" t="s">
        <v>366</v>
      </c>
      <c r="H245" s="391"/>
      <c r="I245" s="392" t="s">
        <v>244</v>
      </c>
      <c r="J245" s="666">
        <v>300000000</v>
      </c>
      <c r="K245" s="666">
        <v>300000000</v>
      </c>
      <c r="L245" s="666">
        <v>300000000</v>
      </c>
      <c r="M245" s="393">
        <v>300000000</v>
      </c>
      <c r="N245" s="387"/>
      <c r="O245" s="387"/>
      <c r="P245" s="387"/>
      <c r="Q245" s="578"/>
      <c r="R245" s="506"/>
      <c r="U245" s="307"/>
    </row>
    <row r="246" spans="2:21" s="306" customFormat="1" ht="15" customHeight="1" x14ac:dyDescent="0.25">
      <c r="B246" s="13"/>
      <c r="C246" s="263"/>
      <c r="D246" s="388"/>
      <c r="E246" s="156"/>
      <c r="F246" s="397" t="s">
        <v>46</v>
      </c>
      <c r="G246" s="398" t="s">
        <v>367</v>
      </c>
      <c r="H246" s="391"/>
      <c r="I246" s="392" t="s">
        <v>244</v>
      </c>
      <c r="J246" s="666">
        <v>250000000</v>
      </c>
      <c r="K246" s="666">
        <v>250000000</v>
      </c>
      <c r="L246" s="666">
        <v>250000000</v>
      </c>
      <c r="M246" s="393">
        <v>250000000</v>
      </c>
      <c r="N246" s="387"/>
      <c r="O246" s="387"/>
      <c r="P246" s="387"/>
      <c r="Q246" s="578"/>
      <c r="R246" s="506"/>
      <c r="S246" s="307"/>
      <c r="U246" s="307"/>
    </row>
    <row r="247" spans="2:21" s="306" customFormat="1" ht="30.75" customHeight="1" x14ac:dyDescent="0.25">
      <c r="B247" s="13"/>
      <c r="C247" s="49"/>
      <c r="D247" s="79"/>
      <c r="E247" s="109" t="s">
        <v>16</v>
      </c>
      <c r="F247" s="1521" t="s">
        <v>368</v>
      </c>
      <c r="G247" s="1522"/>
      <c r="H247" s="354" t="s">
        <v>369</v>
      </c>
      <c r="I247" s="381">
        <v>0.2</v>
      </c>
      <c r="J247" s="667">
        <v>1000000000</v>
      </c>
      <c r="K247" s="667">
        <v>1000000000</v>
      </c>
      <c r="L247" s="667">
        <v>1000000000</v>
      </c>
      <c r="M247" s="395">
        <v>1000000000</v>
      </c>
      <c r="N247" s="319"/>
      <c r="O247" s="319"/>
      <c r="P247" s="319"/>
      <c r="Q247" s="576"/>
      <c r="R247" s="504"/>
      <c r="U247" s="307"/>
    </row>
    <row r="248" spans="2:21" s="306" customFormat="1" ht="22.5" customHeight="1" x14ac:dyDescent="0.25">
      <c r="B248" s="13"/>
      <c r="C248" s="399"/>
      <c r="D248" s="109"/>
      <c r="E248" s="109" t="s">
        <v>19</v>
      </c>
      <c r="F248" s="1517" t="s">
        <v>371</v>
      </c>
      <c r="G248" s="1518"/>
      <c r="H248" s="394" t="s">
        <v>372</v>
      </c>
      <c r="I248" s="381" t="s">
        <v>370</v>
      </c>
      <c r="J248" s="667">
        <v>600000000</v>
      </c>
      <c r="K248" s="667">
        <v>600000000</v>
      </c>
      <c r="L248" s="667">
        <v>600000000</v>
      </c>
      <c r="M248" s="395">
        <v>600000000</v>
      </c>
      <c r="N248" s="319"/>
      <c r="O248" s="319"/>
      <c r="P248" s="319"/>
      <c r="Q248" s="576"/>
      <c r="R248" s="504"/>
      <c r="U248" s="307"/>
    </row>
    <row r="249" spans="2:21" s="29" customFormat="1" ht="18.75" customHeight="1" x14ac:dyDescent="0.25">
      <c r="B249" s="13"/>
      <c r="C249" s="400"/>
      <c r="D249" s="77"/>
      <c r="E249" s="77" t="s">
        <v>27</v>
      </c>
      <c r="F249" s="1523" t="s">
        <v>373</v>
      </c>
      <c r="G249" s="1524"/>
      <c r="H249" s="401" t="s">
        <v>374</v>
      </c>
      <c r="I249" s="402" t="s">
        <v>370</v>
      </c>
      <c r="J249" s="659">
        <f>SUM(J250:J250)</f>
        <v>400000000</v>
      </c>
      <c r="K249" s="659">
        <f>SUM(K250:K250)</f>
        <v>400000000</v>
      </c>
      <c r="L249" s="659">
        <f>SUM(L250:L250)</f>
        <v>400000000</v>
      </c>
      <c r="M249" s="331">
        <f>SUM(M250:M250)</f>
        <v>400000000</v>
      </c>
      <c r="N249" s="319"/>
      <c r="O249" s="319"/>
      <c r="P249" s="319"/>
      <c r="Q249" s="579"/>
      <c r="R249" s="504"/>
      <c r="U249" s="145"/>
    </row>
    <row r="250" spans="2:21" s="306" customFormat="1" ht="16.5" customHeight="1" x14ac:dyDescent="0.25">
      <c r="B250" s="13"/>
      <c r="C250" s="403"/>
      <c r="D250" s="156"/>
      <c r="E250" s="156"/>
      <c r="F250" s="404" t="s">
        <v>46</v>
      </c>
      <c r="G250" s="405" t="s">
        <v>375</v>
      </c>
      <c r="H250" s="391"/>
      <c r="I250" s="392"/>
      <c r="J250" s="666">
        <v>400000000</v>
      </c>
      <c r="K250" s="666">
        <v>400000000</v>
      </c>
      <c r="L250" s="666">
        <v>400000000</v>
      </c>
      <c r="M250" s="393">
        <v>400000000</v>
      </c>
      <c r="N250" s="387"/>
      <c r="O250" s="387"/>
      <c r="P250" s="387"/>
      <c r="Q250" s="578"/>
      <c r="R250" s="506"/>
      <c r="U250" s="307"/>
    </row>
    <row r="251" spans="2:21" s="29" customFormat="1" ht="21" customHeight="1" x14ac:dyDescent="0.25">
      <c r="B251" s="13"/>
      <c r="C251" s="399"/>
      <c r="D251" s="109"/>
      <c r="E251" s="109" t="s">
        <v>30</v>
      </c>
      <c r="F251" s="1525" t="s">
        <v>376</v>
      </c>
      <c r="G251" s="1526"/>
      <c r="H251" s="354" t="s">
        <v>377</v>
      </c>
      <c r="I251" s="406" t="s">
        <v>370</v>
      </c>
      <c r="J251" s="668">
        <v>300000000</v>
      </c>
      <c r="K251" s="668">
        <v>300000000</v>
      </c>
      <c r="L251" s="668">
        <v>300000000</v>
      </c>
      <c r="M251" s="407">
        <v>300000000</v>
      </c>
      <c r="N251" s="319"/>
      <c r="O251" s="319"/>
      <c r="P251" s="319"/>
      <c r="Q251" s="580"/>
      <c r="R251" s="504"/>
      <c r="U251" s="145"/>
    </row>
    <row r="252" spans="2:21" s="29" customFormat="1" ht="21" customHeight="1" x14ac:dyDescent="0.25">
      <c r="B252" s="13"/>
      <c r="C252" s="399"/>
      <c r="D252" s="109"/>
      <c r="E252" s="109" t="s">
        <v>8</v>
      </c>
      <c r="F252" s="1510" t="s">
        <v>409</v>
      </c>
      <c r="G252" s="1511"/>
      <c r="H252" s="394" t="s">
        <v>410</v>
      </c>
      <c r="I252" s="381" t="s">
        <v>370</v>
      </c>
      <c r="J252" s="669">
        <v>400000000</v>
      </c>
      <c r="K252" s="669">
        <v>400000000</v>
      </c>
      <c r="L252" s="669">
        <v>400000000</v>
      </c>
      <c r="M252" s="408">
        <v>400000000</v>
      </c>
      <c r="N252" s="1014"/>
      <c r="O252" s="1014"/>
      <c r="P252" s="319"/>
      <c r="Q252" s="576"/>
      <c r="R252" s="504"/>
      <c r="U252" s="145"/>
    </row>
    <row r="253" spans="2:21" s="29" customFormat="1" ht="3.75" customHeight="1" x14ac:dyDescent="0.25">
      <c r="B253" s="13"/>
      <c r="C253" s="399"/>
      <c r="D253" s="109"/>
      <c r="E253" s="109"/>
      <c r="F253" s="409"/>
      <c r="G253" s="410"/>
      <c r="H253" s="354"/>
      <c r="I253" s="406"/>
      <c r="J253" s="670"/>
      <c r="K253" s="670"/>
      <c r="L253" s="670"/>
      <c r="M253" s="411"/>
      <c r="N253" s="1014"/>
      <c r="O253" s="1014"/>
      <c r="P253" s="319"/>
      <c r="Q253" s="580"/>
      <c r="R253" s="504"/>
      <c r="U253" s="145"/>
    </row>
    <row r="254" spans="2:21" s="29" customFormat="1" ht="35.25" customHeight="1" x14ac:dyDescent="0.25">
      <c r="B254" s="13"/>
      <c r="C254" s="1501" t="s">
        <v>460</v>
      </c>
      <c r="D254" s="1502"/>
      <c r="E254" s="1512" t="s">
        <v>378</v>
      </c>
      <c r="F254" s="1513"/>
      <c r="G254" s="1514"/>
      <c r="H254" s="412" t="s">
        <v>379</v>
      </c>
      <c r="I254" s="413"/>
      <c r="J254" s="649">
        <f>J255+J256+J257</f>
        <v>500000000</v>
      </c>
      <c r="K254" s="649">
        <f>K255+K256+K257</f>
        <v>500000000</v>
      </c>
      <c r="L254" s="649">
        <f>L255+L256+L257</f>
        <v>500000000</v>
      </c>
      <c r="M254" s="283">
        <f>M255+M256+M257</f>
        <v>500000000</v>
      </c>
      <c r="N254" s="1005"/>
      <c r="O254" s="1005"/>
      <c r="P254" s="104"/>
      <c r="Q254" s="581"/>
      <c r="R254" s="14"/>
      <c r="U254" s="145"/>
    </row>
    <row r="255" spans="2:21" s="29" customFormat="1" ht="23.25" customHeight="1" x14ac:dyDescent="0.25">
      <c r="B255" s="13"/>
      <c r="C255" s="399"/>
      <c r="D255" s="109"/>
      <c r="E255" s="109" t="s">
        <v>5</v>
      </c>
      <c r="F255" s="1515" t="s">
        <v>380</v>
      </c>
      <c r="G255" s="1516"/>
      <c r="H255" s="401" t="s">
        <v>381</v>
      </c>
      <c r="I255" s="402" t="s">
        <v>244</v>
      </c>
      <c r="J255" s="659">
        <v>175000000</v>
      </c>
      <c r="K255" s="659">
        <v>175000000</v>
      </c>
      <c r="L255" s="659">
        <v>175000000</v>
      </c>
      <c r="M255" s="331">
        <v>175000000</v>
      </c>
      <c r="N255" s="319"/>
      <c r="O255" s="319"/>
      <c r="P255" s="319"/>
      <c r="Q255" s="579"/>
      <c r="R255" s="504"/>
      <c r="U255" s="145"/>
    </row>
    <row r="256" spans="2:21" s="29" customFormat="1" ht="27.75" customHeight="1" x14ac:dyDescent="0.25">
      <c r="B256" s="13"/>
      <c r="C256" s="399"/>
      <c r="D256" s="109"/>
      <c r="E256" s="109" t="s">
        <v>10</v>
      </c>
      <c r="F256" s="1510" t="s">
        <v>382</v>
      </c>
      <c r="G256" s="1511"/>
      <c r="H256" s="394" t="s">
        <v>383</v>
      </c>
      <c r="I256" s="381" t="s">
        <v>244</v>
      </c>
      <c r="J256" s="667">
        <v>175000000</v>
      </c>
      <c r="K256" s="667">
        <v>175000000</v>
      </c>
      <c r="L256" s="667">
        <v>175000000</v>
      </c>
      <c r="M256" s="395">
        <v>175000000</v>
      </c>
      <c r="N256" s="319"/>
      <c r="O256" s="319"/>
      <c r="P256" s="319"/>
      <c r="Q256" s="576"/>
      <c r="R256" s="504"/>
      <c r="U256" s="145"/>
    </row>
    <row r="257" spans="2:21" s="29" customFormat="1" ht="30.75" customHeight="1" x14ac:dyDescent="0.25">
      <c r="B257" s="13"/>
      <c r="C257" s="399"/>
      <c r="D257" s="109"/>
      <c r="E257" s="109" t="s">
        <v>13</v>
      </c>
      <c r="F257" s="1510" t="s">
        <v>384</v>
      </c>
      <c r="G257" s="1511"/>
      <c r="H257" s="394" t="s">
        <v>385</v>
      </c>
      <c r="I257" s="381" t="s">
        <v>244</v>
      </c>
      <c r="J257" s="667">
        <v>150000000</v>
      </c>
      <c r="K257" s="667">
        <v>150000000</v>
      </c>
      <c r="L257" s="667">
        <v>150000000</v>
      </c>
      <c r="M257" s="395">
        <v>150000000</v>
      </c>
      <c r="N257" s="319"/>
      <c r="O257" s="319"/>
      <c r="P257" s="319"/>
      <c r="Q257" s="576"/>
      <c r="R257" s="504"/>
      <c r="U257" s="145"/>
    </row>
    <row r="258" spans="2:21" s="29" customFormat="1" ht="16.5" hidden="1" customHeight="1" x14ac:dyDescent="0.25">
      <c r="B258" s="13"/>
      <c r="C258" s="399"/>
      <c r="D258" s="109"/>
      <c r="E258" s="109"/>
      <c r="F258" s="404" t="s">
        <v>46</v>
      </c>
      <c r="G258" s="405" t="s">
        <v>386</v>
      </c>
      <c r="H258" s="391"/>
      <c r="I258" s="392"/>
      <c r="J258" s="671">
        <v>300000000</v>
      </c>
      <c r="K258" s="671">
        <v>300000000</v>
      </c>
      <c r="L258" s="671">
        <v>300000000</v>
      </c>
      <c r="M258" s="414">
        <v>300000000</v>
      </c>
      <c r="N258" s="1015"/>
      <c r="O258" s="1015"/>
      <c r="P258" s="387"/>
      <c r="Q258" s="578"/>
      <c r="R258" s="506"/>
      <c r="U258" s="145"/>
    </row>
    <row r="259" spans="2:21" ht="3.75" customHeight="1" x14ac:dyDescent="0.25">
      <c r="C259" s="415"/>
      <c r="D259" s="338"/>
      <c r="E259" s="338"/>
      <c r="F259" s="416"/>
      <c r="G259" s="417"/>
      <c r="H259" s="367"/>
      <c r="I259" s="418"/>
      <c r="J259" s="648"/>
      <c r="K259" s="648"/>
      <c r="L259" s="648"/>
      <c r="M259" s="281"/>
      <c r="N259" s="993"/>
      <c r="O259" s="993"/>
      <c r="P259" s="101"/>
      <c r="Q259" s="582"/>
      <c r="R259" s="491"/>
      <c r="U259" s="230"/>
    </row>
    <row r="260" spans="2:21" s="15" customFormat="1" ht="36.75" customHeight="1" x14ac:dyDescent="0.25">
      <c r="B260" s="13"/>
      <c r="C260" s="1501" t="s">
        <v>461</v>
      </c>
      <c r="D260" s="1502"/>
      <c r="E260" s="1512" t="s">
        <v>387</v>
      </c>
      <c r="F260" s="1513"/>
      <c r="G260" s="1514"/>
      <c r="H260" s="231" t="s">
        <v>388</v>
      </c>
      <c r="I260" s="379"/>
      <c r="J260" s="649">
        <f>J261</f>
        <v>300000000</v>
      </c>
      <c r="K260" s="649">
        <f>K261</f>
        <v>300000000</v>
      </c>
      <c r="L260" s="649">
        <f>L261</f>
        <v>300000000</v>
      </c>
      <c r="M260" s="283">
        <f>M261</f>
        <v>300000000</v>
      </c>
      <c r="N260" s="1005"/>
      <c r="O260" s="1005"/>
      <c r="P260" s="104"/>
      <c r="Q260" s="575"/>
      <c r="R260" s="14"/>
      <c r="U260" s="145"/>
    </row>
    <row r="261" spans="2:21" s="29" customFormat="1" ht="31.5" customHeight="1" x14ac:dyDescent="0.25">
      <c r="B261" s="13"/>
      <c r="C261" s="76"/>
      <c r="D261" s="77"/>
      <c r="E261" s="77" t="s">
        <v>5</v>
      </c>
      <c r="F261" s="1503" t="s">
        <v>390</v>
      </c>
      <c r="G261" s="1504"/>
      <c r="H261" s="293" t="s">
        <v>388</v>
      </c>
      <c r="I261" s="419">
        <v>1</v>
      </c>
      <c r="J261" s="659">
        <v>300000000</v>
      </c>
      <c r="K261" s="659">
        <v>300000000</v>
      </c>
      <c r="L261" s="659">
        <v>300000000</v>
      </c>
      <c r="M261" s="331">
        <v>300000000</v>
      </c>
      <c r="N261" s="319"/>
      <c r="O261" s="319"/>
      <c r="P261" s="319"/>
      <c r="Q261" s="583"/>
      <c r="R261" s="504"/>
      <c r="U261" s="145"/>
    </row>
    <row r="262" spans="2:21" ht="3" customHeight="1" thickBot="1" x14ac:dyDescent="0.3">
      <c r="C262" s="420"/>
      <c r="D262" s="421"/>
      <c r="E262" s="421"/>
      <c r="F262" s="422"/>
      <c r="G262" s="423"/>
      <c r="H262" s="424"/>
      <c r="I262" s="425"/>
      <c r="J262" s="672"/>
      <c r="K262" s="672"/>
      <c r="L262" s="672"/>
      <c r="M262" s="426"/>
      <c r="N262" s="993"/>
      <c r="O262" s="993"/>
      <c r="P262" s="101"/>
      <c r="Q262" s="539"/>
      <c r="R262" s="491"/>
    </row>
    <row r="263" spans="2:21" ht="13.5" thickTop="1" x14ac:dyDescent="0.25"/>
    <row r="264" spans="2:21" s="1096" customFormat="1" ht="45.75" customHeight="1" x14ac:dyDescent="0.25">
      <c r="B264" s="1087"/>
      <c r="C264" s="1088"/>
      <c r="D264" s="1089"/>
      <c r="E264" s="1089"/>
      <c r="F264" s="1089"/>
      <c r="G264" s="1090"/>
      <c r="H264" s="1091"/>
      <c r="I264" s="1092"/>
      <c r="J264" s="1097" t="s">
        <v>519</v>
      </c>
      <c r="K264" s="1097" t="s">
        <v>520</v>
      </c>
      <c r="L264" s="1097" t="s">
        <v>521</v>
      </c>
      <c r="M264" s="1097" t="s">
        <v>522</v>
      </c>
      <c r="N264" s="1093"/>
      <c r="O264" s="1093"/>
      <c r="P264" s="1094"/>
      <c r="Q264" s="1092"/>
      <c r="R264" s="1095"/>
    </row>
  </sheetData>
  <mergeCells count="168">
    <mergeCell ref="Q8:Q9"/>
    <mergeCell ref="C10:E10"/>
    <mergeCell ref="F10:G10"/>
    <mergeCell ref="C2:M2"/>
    <mergeCell ref="C3:P3"/>
    <mergeCell ref="C4:P4"/>
    <mergeCell ref="C6:D6"/>
    <mergeCell ref="E6:G6"/>
    <mergeCell ref="C8:E9"/>
    <mergeCell ref="F8:G9"/>
    <mergeCell ref="H8:H9"/>
    <mergeCell ref="I8:I9"/>
    <mergeCell ref="J8:J9"/>
    <mergeCell ref="D11:G11"/>
    <mergeCell ref="D12:I12"/>
    <mergeCell ref="D13:G13"/>
    <mergeCell ref="E14:G14"/>
    <mergeCell ref="E15:G15"/>
    <mergeCell ref="E16:G16"/>
    <mergeCell ref="K8:K9"/>
    <mergeCell ref="L8:L9"/>
    <mergeCell ref="M8:M9"/>
    <mergeCell ref="F23:G23"/>
    <mergeCell ref="D24:G24"/>
    <mergeCell ref="E25:G25"/>
    <mergeCell ref="E26:G26"/>
    <mergeCell ref="E27:G27"/>
    <mergeCell ref="E28:G28"/>
    <mergeCell ref="E17:G17"/>
    <mergeCell ref="E18:G18"/>
    <mergeCell ref="E19:G19"/>
    <mergeCell ref="E20:G20"/>
    <mergeCell ref="E21:G21"/>
    <mergeCell ref="E22:G22"/>
    <mergeCell ref="F35:G35"/>
    <mergeCell ref="E36:G36"/>
    <mergeCell ref="E37:G37"/>
    <mergeCell ref="E38:G38"/>
    <mergeCell ref="F39:G39"/>
    <mergeCell ref="D40:G40"/>
    <mergeCell ref="E29:G29"/>
    <mergeCell ref="F30:G30"/>
    <mergeCell ref="F31:G31"/>
    <mergeCell ref="F32:G32"/>
    <mergeCell ref="E33:G33"/>
    <mergeCell ref="F34:G34"/>
    <mergeCell ref="E47:G47"/>
    <mergeCell ref="E48:G48"/>
    <mergeCell ref="E49:G49"/>
    <mergeCell ref="E50:G50"/>
    <mergeCell ref="D52:I52"/>
    <mergeCell ref="C53:D53"/>
    <mergeCell ref="E53:G53"/>
    <mergeCell ref="E41:G41"/>
    <mergeCell ref="E42:G42"/>
    <mergeCell ref="D43:G43"/>
    <mergeCell ref="E44:G44"/>
    <mergeCell ref="E45:G45"/>
    <mergeCell ref="D46:G46"/>
    <mergeCell ref="F67:G67"/>
    <mergeCell ref="F68:G68"/>
    <mergeCell ref="F69:G69"/>
    <mergeCell ref="F76:G76"/>
    <mergeCell ref="F90:G90"/>
    <mergeCell ref="F91:G91"/>
    <mergeCell ref="F54:G54"/>
    <mergeCell ref="F55:G55"/>
    <mergeCell ref="F59:G59"/>
    <mergeCell ref="F62:G62"/>
    <mergeCell ref="F63:G63"/>
    <mergeCell ref="F66:G66"/>
    <mergeCell ref="F126:G126"/>
    <mergeCell ref="F128:G128"/>
    <mergeCell ref="F130:G130"/>
    <mergeCell ref="F132:G132"/>
    <mergeCell ref="F137:G137"/>
    <mergeCell ref="C143:D143"/>
    <mergeCell ref="E143:G143"/>
    <mergeCell ref="F93:G93"/>
    <mergeCell ref="F97:G97"/>
    <mergeCell ref="F102:G102"/>
    <mergeCell ref="F112:G112"/>
    <mergeCell ref="F115:G115"/>
    <mergeCell ref="F120:G120"/>
    <mergeCell ref="F153:G153"/>
    <mergeCell ref="F154:G154"/>
    <mergeCell ref="F155:G155"/>
    <mergeCell ref="F156:G156"/>
    <mergeCell ref="F157:G157"/>
    <mergeCell ref="F161:G161"/>
    <mergeCell ref="F144:G144"/>
    <mergeCell ref="F145:G145"/>
    <mergeCell ref="F146:G146"/>
    <mergeCell ref="F147:G147"/>
    <mergeCell ref="F151:G151"/>
    <mergeCell ref="F152:G152"/>
    <mergeCell ref="F168:G168"/>
    <mergeCell ref="C169:D169"/>
    <mergeCell ref="E169:G169"/>
    <mergeCell ref="F170:G170"/>
    <mergeCell ref="F171:G171"/>
    <mergeCell ref="F172:G172"/>
    <mergeCell ref="F162:G162"/>
    <mergeCell ref="F163:G163"/>
    <mergeCell ref="F164:G164"/>
    <mergeCell ref="F165:G165"/>
    <mergeCell ref="F166:G166"/>
    <mergeCell ref="F167:G167"/>
    <mergeCell ref="F180:G180"/>
    <mergeCell ref="C182:D182"/>
    <mergeCell ref="E182:G182"/>
    <mergeCell ref="F183:G183"/>
    <mergeCell ref="F187:G187"/>
    <mergeCell ref="F190:G190"/>
    <mergeCell ref="F173:G173"/>
    <mergeCell ref="C174:D174"/>
    <mergeCell ref="E174:G174"/>
    <mergeCell ref="F175:G175"/>
    <mergeCell ref="F176:G176"/>
    <mergeCell ref="F178:G178"/>
    <mergeCell ref="F213:G213"/>
    <mergeCell ref="F214:G214"/>
    <mergeCell ref="F217:G217"/>
    <mergeCell ref="F218:G218"/>
    <mergeCell ref="F219:G219"/>
    <mergeCell ref="F220:G220"/>
    <mergeCell ref="F193:G193"/>
    <mergeCell ref="F196:G196"/>
    <mergeCell ref="F200:G200"/>
    <mergeCell ref="F203:G203"/>
    <mergeCell ref="F206:G206"/>
    <mergeCell ref="F210:G210"/>
    <mergeCell ref="C227:D227"/>
    <mergeCell ref="E227:G227"/>
    <mergeCell ref="F228:G228"/>
    <mergeCell ref="F229:G229"/>
    <mergeCell ref="C231:D231"/>
    <mergeCell ref="E231:G231"/>
    <mergeCell ref="F221:G221"/>
    <mergeCell ref="F222:G222"/>
    <mergeCell ref="C223:D223"/>
    <mergeCell ref="E223:G223"/>
    <mergeCell ref="F224:G224"/>
    <mergeCell ref="F225:G225"/>
    <mergeCell ref="C238:D238"/>
    <mergeCell ref="E238:G238"/>
    <mergeCell ref="F239:G239"/>
    <mergeCell ref="F242:G242"/>
    <mergeCell ref="F244:G244"/>
    <mergeCell ref="F247:G247"/>
    <mergeCell ref="F232:G232"/>
    <mergeCell ref="F233:G233"/>
    <mergeCell ref="F234:G234"/>
    <mergeCell ref="F235:G235"/>
    <mergeCell ref="F236:G236"/>
    <mergeCell ref="F237:G237"/>
    <mergeCell ref="F255:G255"/>
    <mergeCell ref="F256:G256"/>
    <mergeCell ref="F257:G257"/>
    <mergeCell ref="C260:D260"/>
    <mergeCell ref="E260:G260"/>
    <mergeCell ref="F261:G261"/>
    <mergeCell ref="F248:G248"/>
    <mergeCell ref="F249:G249"/>
    <mergeCell ref="F251:G251"/>
    <mergeCell ref="F252:G252"/>
    <mergeCell ref="C254:D254"/>
    <mergeCell ref="E254:G254"/>
  </mergeCells>
  <printOptions horizontalCentered="1"/>
  <pageMargins left="0.43307086614173229" right="0.43307086614173229" top="0.59055118110236227" bottom="0.39370078740157483" header="0" footer="0"/>
  <pageSetup paperSize="200" scale="92" fitToHeight="0" orientation="landscape" useFirstPageNumber="1" r:id="rId1"/>
  <headerFooter>
    <oddFooter>&amp;L&amp;"Cambria,Italic"&amp;7&amp;K05-049&amp;F / &amp;A&amp;C&amp;"Cambria,Italic"&amp;7&amp;K04-021Hal &amp;P dari &amp;N&amp;R&amp;"-,Italic"&amp;7&amp;K09-022&amp;D /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M31"/>
  <sheetViews>
    <sheetView zoomScale="85" zoomScaleNormal="85" zoomScaleSheetLayoutView="130" workbookViewId="0">
      <selection activeCell="B7" sqref="B7:K31"/>
    </sheetView>
  </sheetViews>
  <sheetFormatPr defaultRowHeight="12.75" x14ac:dyDescent="0.25"/>
  <cols>
    <col min="1" max="1" width="9" style="53" customWidth="1"/>
    <col min="2" max="2" width="0.5703125" style="13" customWidth="1"/>
    <col min="3" max="3" width="6.28515625" style="427" customWidth="1"/>
    <col min="4" max="4" width="2.7109375" style="428" customWidth="1"/>
    <col min="5" max="5" width="57.7109375" style="429" customWidth="1"/>
    <col min="6" max="6" width="52" style="430" hidden="1" customWidth="1"/>
    <col min="7" max="7" width="18.42578125" style="432" customWidth="1"/>
    <col min="8" max="8" width="18.5703125" style="432" customWidth="1"/>
    <col min="9" max="9" width="16.42578125" style="432" customWidth="1"/>
    <col min="10" max="10" width="22.7109375" style="432" customWidth="1"/>
    <col min="11" max="11" width="0.5703125" style="291" customWidth="1"/>
    <col min="12" max="12" width="10.5703125" style="53" customWidth="1"/>
    <col min="13" max="13" width="15.42578125" style="53" customWidth="1"/>
    <col min="14" max="20" width="10.5703125" style="53" customWidth="1"/>
    <col min="21" max="226" width="9.140625" style="53"/>
    <col min="227" max="227" width="1.7109375" style="53" customWidth="1"/>
    <col min="228" max="229" width="4.7109375" style="53" customWidth="1"/>
    <col min="230" max="230" width="54.140625" style="53" customWidth="1"/>
    <col min="231" max="231" width="52" style="53" customWidth="1"/>
    <col min="232" max="232" width="5.28515625" style="53" customWidth="1"/>
    <col min="233" max="233" width="5.85546875" style="53" bestFit="1" customWidth="1"/>
    <col min="234" max="234" width="16.42578125" style="53" customWidth="1"/>
    <col min="235" max="235" width="4.5703125" style="53" customWidth="1"/>
    <col min="236" max="236" width="14.140625" style="53" customWidth="1"/>
    <col min="237" max="237" width="27.140625" style="53" customWidth="1"/>
    <col min="238" max="238" width="16.28515625" style="53" customWidth="1"/>
    <col min="239" max="239" width="13.85546875" style="53" customWidth="1"/>
    <col min="240" max="482" width="9.140625" style="53"/>
    <col min="483" max="483" width="1.7109375" style="53" customWidth="1"/>
    <col min="484" max="485" width="4.7109375" style="53" customWidth="1"/>
    <col min="486" max="486" width="54.140625" style="53" customWidth="1"/>
    <col min="487" max="487" width="52" style="53" customWidth="1"/>
    <col min="488" max="488" width="5.28515625" style="53" customWidth="1"/>
    <col min="489" max="489" width="5.85546875" style="53" bestFit="1" customWidth="1"/>
    <col min="490" max="490" width="16.42578125" style="53" customWidth="1"/>
    <col min="491" max="491" width="4.5703125" style="53" customWidth="1"/>
    <col min="492" max="492" width="14.140625" style="53" customWidth="1"/>
    <col min="493" max="493" width="27.140625" style="53" customWidth="1"/>
    <col min="494" max="494" width="16.28515625" style="53" customWidth="1"/>
    <col min="495" max="495" width="13.85546875" style="53" customWidth="1"/>
    <col min="496" max="738" width="9.140625" style="53"/>
    <col min="739" max="739" width="1.7109375" style="53" customWidth="1"/>
    <col min="740" max="741" width="4.7109375" style="53" customWidth="1"/>
    <col min="742" max="742" width="54.140625" style="53" customWidth="1"/>
    <col min="743" max="743" width="52" style="53" customWidth="1"/>
    <col min="744" max="744" width="5.28515625" style="53" customWidth="1"/>
    <col min="745" max="745" width="5.85546875" style="53" bestFit="1" customWidth="1"/>
    <col min="746" max="746" width="16.42578125" style="53" customWidth="1"/>
    <col min="747" max="747" width="4.5703125" style="53" customWidth="1"/>
    <col min="748" max="748" width="14.140625" style="53" customWidth="1"/>
    <col min="749" max="749" width="27.140625" style="53" customWidth="1"/>
    <col min="750" max="750" width="16.28515625" style="53" customWidth="1"/>
    <col min="751" max="751" width="13.85546875" style="53" customWidth="1"/>
    <col min="752" max="994" width="9.140625" style="53"/>
    <col min="995" max="995" width="1.7109375" style="53" customWidth="1"/>
    <col min="996" max="997" width="4.7109375" style="53" customWidth="1"/>
    <col min="998" max="998" width="54.140625" style="53" customWidth="1"/>
    <col min="999" max="999" width="52" style="53" customWidth="1"/>
    <col min="1000" max="1000" width="5.28515625" style="53" customWidth="1"/>
    <col min="1001" max="1001" width="5.85546875" style="53" bestFit="1" customWidth="1"/>
    <col min="1002" max="1002" width="16.42578125" style="53" customWidth="1"/>
    <col min="1003" max="1003" width="4.5703125" style="53" customWidth="1"/>
    <col min="1004" max="1004" width="14.140625" style="53" customWidth="1"/>
    <col min="1005" max="1005" width="27.140625" style="53" customWidth="1"/>
    <col min="1006" max="1006" width="16.28515625" style="53" customWidth="1"/>
    <col min="1007" max="1007" width="13.85546875" style="53" customWidth="1"/>
    <col min="1008" max="1250" width="9.140625" style="53"/>
    <col min="1251" max="1251" width="1.7109375" style="53" customWidth="1"/>
    <col min="1252" max="1253" width="4.7109375" style="53" customWidth="1"/>
    <col min="1254" max="1254" width="54.140625" style="53" customWidth="1"/>
    <col min="1255" max="1255" width="52" style="53" customWidth="1"/>
    <col min="1256" max="1256" width="5.28515625" style="53" customWidth="1"/>
    <col min="1257" max="1257" width="5.85546875" style="53" bestFit="1" customWidth="1"/>
    <col min="1258" max="1258" width="16.42578125" style="53" customWidth="1"/>
    <col min="1259" max="1259" width="4.5703125" style="53" customWidth="1"/>
    <col min="1260" max="1260" width="14.140625" style="53" customWidth="1"/>
    <col min="1261" max="1261" width="27.140625" style="53" customWidth="1"/>
    <col min="1262" max="1262" width="16.28515625" style="53" customWidth="1"/>
    <col min="1263" max="1263" width="13.85546875" style="53" customWidth="1"/>
    <col min="1264" max="1506" width="9.140625" style="53"/>
    <col min="1507" max="1507" width="1.7109375" style="53" customWidth="1"/>
    <col min="1508" max="1509" width="4.7109375" style="53" customWidth="1"/>
    <col min="1510" max="1510" width="54.140625" style="53" customWidth="1"/>
    <col min="1511" max="1511" width="52" style="53" customWidth="1"/>
    <col min="1512" max="1512" width="5.28515625" style="53" customWidth="1"/>
    <col min="1513" max="1513" width="5.85546875" style="53" bestFit="1" customWidth="1"/>
    <col min="1514" max="1514" width="16.42578125" style="53" customWidth="1"/>
    <col min="1515" max="1515" width="4.5703125" style="53" customWidth="1"/>
    <col min="1516" max="1516" width="14.140625" style="53" customWidth="1"/>
    <col min="1517" max="1517" width="27.140625" style="53" customWidth="1"/>
    <col min="1518" max="1518" width="16.28515625" style="53" customWidth="1"/>
    <col min="1519" max="1519" width="13.85546875" style="53" customWidth="1"/>
    <col min="1520" max="1762" width="9.140625" style="53"/>
    <col min="1763" max="1763" width="1.7109375" style="53" customWidth="1"/>
    <col min="1764" max="1765" width="4.7109375" style="53" customWidth="1"/>
    <col min="1766" max="1766" width="54.140625" style="53" customWidth="1"/>
    <col min="1767" max="1767" width="52" style="53" customWidth="1"/>
    <col min="1768" max="1768" width="5.28515625" style="53" customWidth="1"/>
    <col min="1769" max="1769" width="5.85546875" style="53" bestFit="1" customWidth="1"/>
    <col min="1770" max="1770" width="16.42578125" style="53" customWidth="1"/>
    <col min="1771" max="1771" width="4.5703125" style="53" customWidth="1"/>
    <col min="1772" max="1772" width="14.140625" style="53" customWidth="1"/>
    <col min="1773" max="1773" width="27.140625" style="53" customWidth="1"/>
    <col min="1774" max="1774" width="16.28515625" style="53" customWidth="1"/>
    <col min="1775" max="1775" width="13.85546875" style="53" customWidth="1"/>
    <col min="1776" max="2018" width="9.140625" style="53"/>
    <col min="2019" max="2019" width="1.7109375" style="53" customWidth="1"/>
    <col min="2020" max="2021" width="4.7109375" style="53" customWidth="1"/>
    <col min="2022" max="2022" width="54.140625" style="53" customWidth="1"/>
    <col min="2023" max="2023" width="52" style="53" customWidth="1"/>
    <col min="2024" max="2024" width="5.28515625" style="53" customWidth="1"/>
    <col min="2025" max="2025" width="5.85546875" style="53" bestFit="1" customWidth="1"/>
    <col min="2026" max="2026" width="16.42578125" style="53" customWidth="1"/>
    <col min="2027" max="2027" width="4.5703125" style="53" customWidth="1"/>
    <col min="2028" max="2028" width="14.140625" style="53" customWidth="1"/>
    <col min="2029" max="2029" width="27.140625" style="53" customWidth="1"/>
    <col min="2030" max="2030" width="16.28515625" style="53" customWidth="1"/>
    <col min="2031" max="2031" width="13.85546875" style="53" customWidth="1"/>
    <col min="2032" max="2274" width="9.140625" style="53"/>
    <col min="2275" max="2275" width="1.7109375" style="53" customWidth="1"/>
    <col min="2276" max="2277" width="4.7109375" style="53" customWidth="1"/>
    <col min="2278" max="2278" width="54.140625" style="53" customWidth="1"/>
    <col min="2279" max="2279" width="52" style="53" customWidth="1"/>
    <col min="2280" max="2280" width="5.28515625" style="53" customWidth="1"/>
    <col min="2281" max="2281" width="5.85546875" style="53" bestFit="1" customWidth="1"/>
    <col min="2282" max="2282" width="16.42578125" style="53" customWidth="1"/>
    <col min="2283" max="2283" width="4.5703125" style="53" customWidth="1"/>
    <col min="2284" max="2284" width="14.140625" style="53" customWidth="1"/>
    <col min="2285" max="2285" width="27.140625" style="53" customWidth="1"/>
    <col min="2286" max="2286" width="16.28515625" style="53" customWidth="1"/>
    <col min="2287" max="2287" width="13.85546875" style="53" customWidth="1"/>
    <col min="2288" max="2530" width="9.140625" style="53"/>
    <col min="2531" max="2531" width="1.7109375" style="53" customWidth="1"/>
    <col min="2532" max="2533" width="4.7109375" style="53" customWidth="1"/>
    <col min="2534" max="2534" width="54.140625" style="53" customWidth="1"/>
    <col min="2535" max="2535" width="52" style="53" customWidth="1"/>
    <col min="2536" max="2536" width="5.28515625" style="53" customWidth="1"/>
    <col min="2537" max="2537" width="5.85546875" style="53" bestFit="1" customWidth="1"/>
    <col min="2538" max="2538" width="16.42578125" style="53" customWidth="1"/>
    <col min="2539" max="2539" width="4.5703125" style="53" customWidth="1"/>
    <col min="2540" max="2540" width="14.140625" style="53" customWidth="1"/>
    <col min="2541" max="2541" width="27.140625" style="53" customWidth="1"/>
    <col min="2542" max="2542" width="16.28515625" style="53" customWidth="1"/>
    <col min="2543" max="2543" width="13.85546875" style="53" customWidth="1"/>
    <col min="2544" max="2786" width="9.140625" style="53"/>
    <col min="2787" max="2787" width="1.7109375" style="53" customWidth="1"/>
    <col min="2788" max="2789" width="4.7109375" style="53" customWidth="1"/>
    <col min="2790" max="2790" width="54.140625" style="53" customWidth="1"/>
    <col min="2791" max="2791" width="52" style="53" customWidth="1"/>
    <col min="2792" max="2792" width="5.28515625" style="53" customWidth="1"/>
    <col min="2793" max="2793" width="5.85546875" style="53" bestFit="1" customWidth="1"/>
    <col min="2794" max="2794" width="16.42578125" style="53" customWidth="1"/>
    <col min="2795" max="2795" width="4.5703125" style="53" customWidth="1"/>
    <col min="2796" max="2796" width="14.140625" style="53" customWidth="1"/>
    <col min="2797" max="2797" width="27.140625" style="53" customWidth="1"/>
    <col min="2798" max="2798" width="16.28515625" style="53" customWidth="1"/>
    <col min="2799" max="2799" width="13.85546875" style="53" customWidth="1"/>
    <col min="2800" max="3042" width="9.140625" style="53"/>
    <col min="3043" max="3043" width="1.7109375" style="53" customWidth="1"/>
    <col min="3044" max="3045" width="4.7109375" style="53" customWidth="1"/>
    <col min="3046" max="3046" width="54.140625" style="53" customWidth="1"/>
    <col min="3047" max="3047" width="52" style="53" customWidth="1"/>
    <col min="3048" max="3048" width="5.28515625" style="53" customWidth="1"/>
    <col min="3049" max="3049" width="5.85546875" style="53" bestFit="1" customWidth="1"/>
    <col min="3050" max="3050" width="16.42578125" style="53" customWidth="1"/>
    <col min="3051" max="3051" width="4.5703125" style="53" customWidth="1"/>
    <col min="3052" max="3052" width="14.140625" style="53" customWidth="1"/>
    <col min="3053" max="3053" width="27.140625" style="53" customWidth="1"/>
    <col min="3054" max="3054" width="16.28515625" style="53" customWidth="1"/>
    <col min="3055" max="3055" width="13.85546875" style="53" customWidth="1"/>
    <col min="3056" max="3298" width="9.140625" style="53"/>
    <col min="3299" max="3299" width="1.7109375" style="53" customWidth="1"/>
    <col min="3300" max="3301" width="4.7109375" style="53" customWidth="1"/>
    <col min="3302" max="3302" width="54.140625" style="53" customWidth="1"/>
    <col min="3303" max="3303" width="52" style="53" customWidth="1"/>
    <col min="3304" max="3304" width="5.28515625" style="53" customWidth="1"/>
    <col min="3305" max="3305" width="5.85546875" style="53" bestFit="1" customWidth="1"/>
    <col min="3306" max="3306" width="16.42578125" style="53" customWidth="1"/>
    <col min="3307" max="3307" width="4.5703125" style="53" customWidth="1"/>
    <col min="3308" max="3308" width="14.140625" style="53" customWidth="1"/>
    <col min="3309" max="3309" width="27.140625" style="53" customWidth="1"/>
    <col min="3310" max="3310" width="16.28515625" style="53" customWidth="1"/>
    <col min="3311" max="3311" width="13.85546875" style="53" customWidth="1"/>
    <col min="3312" max="3554" width="9.140625" style="53"/>
    <col min="3555" max="3555" width="1.7109375" style="53" customWidth="1"/>
    <col min="3556" max="3557" width="4.7109375" style="53" customWidth="1"/>
    <col min="3558" max="3558" width="54.140625" style="53" customWidth="1"/>
    <col min="3559" max="3559" width="52" style="53" customWidth="1"/>
    <col min="3560" max="3560" width="5.28515625" style="53" customWidth="1"/>
    <col min="3561" max="3561" width="5.85546875" style="53" bestFit="1" customWidth="1"/>
    <col min="3562" max="3562" width="16.42578125" style="53" customWidth="1"/>
    <col min="3563" max="3563" width="4.5703125" style="53" customWidth="1"/>
    <col min="3564" max="3564" width="14.140625" style="53" customWidth="1"/>
    <col min="3565" max="3565" width="27.140625" style="53" customWidth="1"/>
    <col min="3566" max="3566" width="16.28515625" style="53" customWidth="1"/>
    <col min="3567" max="3567" width="13.85546875" style="53" customWidth="1"/>
    <col min="3568" max="3810" width="9.140625" style="53"/>
    <col min="3811" max="3811" width="1.7109375" style="53" customWidth="1"/>
    <col min="3812" max="3813" width="4.7109375" style="53" customWidth="1"/>
    <col min="3814" max="3814" width="54.140625" style="53" customWidth="1"/>
    <col min="3815" max="3815" width="52" style="53" customWidth="1"/>
    <col min="3816" max="3816" width="5.28515625" style="53" customWidth="1"/>
    <col min="3817" max="3817" width="5.85546875" style="53" bestFit="1" customWidth="1"/>
    <col min="3818" max="3818" width="16.42578125" style="53" customWidth="1"/>
    <col min="3819" max="3819" width="4.5703125" style="53" customWidth="1"/>
    <col min="3820" max="3820" width="14.140625" style="53" customWidth="1"/>
    <col min="3821" max="3821" width="27.140625" style="53" customWidth="1"/>
    <col min="3822" max="3822" width="16.28515625" style="53" customWidth="1"/>
    <col min="3823" max="3823" width="13.85546875" style="53" customWidth="1"/>
    <col min="3824" max="4066" width="9.140625" style="53"/>
    <col min="4067" max="4067" width="1.7109375" style="53" customWidth="1"/>
    <col min="4068" max="4069" width="4.7109375" style="53" customWidth="1"/>
    <col min="4070" max="4070" width="54.140625" style="53" customWidth="1"/>
    <col min="4071" max="4071" width="52" style="53" customWidth="1"/>
    <col min="4072" max="4072" width="5.28515625" style="53" customWidth="1"/>
    <col min="4073" max="4073" width="5.85546875" style="53" bestFit="1" customWidth="1"/>
    <col min="4074" max="4074" width="16.42578125" style="53" customWidth="1"/>
    <col min="4075" max="4075" width="4.5703125" style="53" customWidth="1"/>
    <col min="4076" max="4076" width="14.140625" style="53" customWidth="1"/>
    <col min="4077" max="4077" width="27.140625" style="53" customWidth="1"/>
    <col min="4078" max="4078" width="16.28515625" style="53" customWidth="1"/>
    <col min="4079" max="4079" width="13.85546875" style="53" customWidth="1"/>
    <col min="4080" max="4322" width="9.140625" style="53"/>
    <col min="4323" max="4323" width="1.7109375" style="53" customWidth="1"/>
    <col min="4324" max="4325" width="4.7109375" style="53" customWidth="1"/>
    <col min="4326" max="4326" width="54.140625" style="53" customWidth="1"/>
    <col min="4327" max="4327" width="52" style="53" customWidth="1"/>
    <col min="4328" max="4328" width="5.28515625" style="53" customWidth="1"/>
    <col min="4329" max="4329" width="5.85546875" style="53" bestFit="1" customWidth="1"/>
    <col min="4330" max="4330" width="16.42578125" style="53" customWidth="1"/>
    <col min="4331" max="4331" width="4.5703125" style="53" customWidth="1"/>
    <col min="4332" max="4332" width="14.140625" style="53" customWidth="1"/>
    <col min="4333" max="4333" width="27.140625" style="53" customWidth="1"/>
    <col min="4334" max="4334" width="16.28515625" style="53" customWidth="1"/>
    <col min="4335" max="4335" width="13.85546875" style="53" customWidth="1"/>
    <col min="4336" max="4578" width="9.140625" style="53"/>
    <col min="4579" max="4579" width="1.7109375" style="53" customWidth="1"/>
    <col min="4580" max="4581" width="4.7109375" style="53" customWidth="1"/>
    <col min="4582" max="4582" width="54.140625" style="53" customWidth="1"/>
    <col min="4583" max="4583" width="52" style="53" customWidth="1"/>
    <col min="4584" max="4584" width="5.28515625" style="53" customWidth="1"/>
    <col min="4585" max="4585" width="5.85546875" style="53" bestFit="1" customWidth="1"/>
    <col min="4586" max="4586" width="16.42578125" style="53" customWidth="1"/>
    <col min="4587" max="4587" width="4.5703125" style="53" customWidth="1"/>
    <col min="4588" max="4588" width="14.140625" style="53" customWidth="1"/>
    <col min="4589" max="4589" width="27.140625" style="53" customWidth="1"/>
    <col min="4590" max="4590" width="16.28515625" style="53" customWidth="1"/>
    <col min="4591" max="4591" width="13.85546875" style="53" customWidth="1"/>
    <col min="4592" max="4834" width="9.140625" style="53"/>
    <col min="4835" max="4835" width="1.7109375" style="53" customWidth="1"/>
    <col min="4836" max="4837" width="4.7109375" style="53" customWidth="1"/>
    <col min="4838" max="4838" width="54.140625" style="53" customWidth="1"/>
    <col min="4839" max="4839" width="52" style="53" customWidth="1"/>
    <col min="4840" max="4840" width="5.28515625" style="53" customWidth="1"/>
    <col min="4841" max="4841" width="5.85546875" style="53" bestFit="1" customWidth="1"/>
    <col min="4842" max="4842" width="16.42578125" style="53" customWidth="1"/>
    <col min="4843" max="4843" width="4.5703125" style="53" customWidth="1"/>
    <col min="4844" max="4844" width="14.140625" style="53" customWidth="1"/>
    <col min="4845" max="4845" width="27.140625" style="53" customWidth="1"/>
    <col min="4846" max="4846" width="16.28515625" style="53" customWidth="1"/>
    <col min="4847" max="4847" width="13.85546875" style="53" customWidth="1"/>
    <col min="4848" max="5090" width="9.140625" style="53"/>
    <col min="5091" max="5091" width="1.7109375" style="53" customWidth="1"/>
    <col min="5092" max="5093" width="4.7109375" style="53" customWidth="1"/>
    <col min="5094" max="5094" width="54.140625" style="53" customWidth="1"/>
    <col min="5095" max="5095" width="52" style="53" customWidth="1"/>
    <col min="5096" max="5096" width="5.28515625" style="53" customWidth="1"/>
    <col min="5097" max="5097" width="5.85546875" style="53" bestFit="1" customWidth="1"/>
    <col min="5098" max="5098" width="16.42578125" style="53" customWidth="1"/>
    <col min="5099" max="5099" width="4.5703125" style="53" customWidth="1"/>
    <col min="5100" max="5100" width="14.140625" style="53" customWidth="1"/>
    <col min="5101" max="5101" width="27.140625" style="53" customWidth="1"/>
    <col min="5102" max="5102" width="16.28515625" style="53" customWidth="1"/>
    <col min="5103" max="5103" width="13.85546875" style="53" customWidth="1"/>
    <col min="5104" max="5346" width="9.140625" style="53"/>
    <col min="5347" max="5347" width="1.7109375" style="53" customWidth="1"/>
    <col min="5348" max="5349" width="4.7109375" style="53" customWidth="1"/>
    <col min="5350" max="5350" width="54.140625" style="53" customWidth="1"/>
    <col min="5351" max="5351" width="52" style="53" customWidth="1"/>
    <col min="5352" max="5352" width="5.28515625" style="53" customWidth="1"/>
    <col min="5353" max="5353" width="5.85546875" style="53" bestFit="1" customWidth="1"/>
    <col min="5354" max="5354" width="16.42578125" style="53" customWidth="1"/>
    <col min="5355" max="5355" width="4.5703125" style="53" customWidth="1"/>
    <col min="5356" max="5356" width="14.140625" style="53" customWidth="1"/>
    <col min="5357" max="5357" width="27.140625" style="53" customWidth="1"/>
    <col min="5358" max="5358" width="16.28515625" style="53" customWidth="1"/>
    <col min="5359" max="5359" width="13.85546875" style="53" customWidth="1"/>
    <col min="5360" max="5602" width="9.140625" style="53"/>
    <col min="5603" max="5603" width="1.7109375" style="53" customWidth="1"/>
    <col min="5604" max="5605" width="4.7109375" style="53" customWidth="1"/>
    <col min="5606" max="5606" width="54.140625" style="53" customWidth="1"/>
    <col min="5607" max="5607" width="52" style="53" customWidth="1"/>
    <col min="5608" max="5608" width="5.28515625" style="53" customWidth="1"/>
    <col min="5609" max="5609" width="5.85546875" style="53" bestFit="1" customWidth="1"/>
    <col min="5610" max="5610" width="16.42578125" style="53" customWidth="1"/>
    <col min="5611" max="5611" width="4.5703125" style="53" customWidth="1"/>
    <col min="5612" max="5612" width="14.140625" style="53" customWidth="1"/>
    <col min="5613" max="5613" width="27.140625" style="53" customWidth="1"/>
    <col min="5614" max="5614" width="16.28515625" style="53" customWidth="1"/>
    <col min="5615" max="5615" width="13.85546875" style="53" customWidth="1"/>
    <col min="5616" max="5858" width="9.140625" style="53"/>
    <col min="5859" max="5859" width="1.7109375" style="53" customWidth="1"/>
    <col min="5860" max="5861" width="4.7109375" style="53" customWidth="1"/>
    <col min="5862" max="5862" width="54.140625" style="53" customWidth="1"/>
    <col min="5863" max="5863" width="52" style="53" customWidth="1"/>
    <col min="5864" max="5864" width="5.28515625" style="53" customWidth="1"/>
    <col min="5865" max="5865" width="5.85546875" style="53" bestFit="1" customWidth="1"/>
    <col min="5866" max="5866" width="16.42578125" style="53" customWidth="1"/>
    <col min="5867" max="5867" width="4.5703125" style="53" customWidth="1"/>
    <col min="5868" max="5868" width="14.140625" style="53" customWidth="1"/>
    <col min="5869" max="5869" width="27.140625" style="53" customWidth="1"/>
    <col min="5870" max="5870" width="16.28515625" style="53" customWidth="1"/>
    <col min="5871" max="5871" width="13.85546875" style="53" customWidth="1"/>
    <col min="5872" max="6114" width="9.140625" style="53"/>
    <col min="6115" max="6115" width="1.7109375" style="53" customWidth="1"/>
    <col min="6116" max="6117" width="4.7109375" style="53" customWidth="1"/>
    <col min="6118" max="6118" width="54.140625" style="53" customWidth="1"/>
    <col min="6119" max="6119" width="52" style="53" customWidth="1"/>
    <col min="6120" max="6120" width="5.28515625" style="53" customWidth="1"/>
    <col min="6121" max="6121" width="5.85546875" style="53" bestFit="1" customWidth="1"/>
    <col min="6122" max="6122" width="16.42578125" style="53" customWidth="1"/>
    <col min="6123" max="6123" width="4.5703125" style="53" customWidth="1"/>
    <col min="6124" max="6124" width="14.140625" style="53" customWidth="1"/>
    <col min="6125" max="6125" width="27.140625" style="53" customWidth="1"/>
    <col min="6126" max="6126" width="16.28515625" style="53" customWidth="1"/>
    <col min="6127" max="6127" width="13.85546875" style="53" customWidth="1"/>
    <col min="6128" max="6370" width="9.140625" style="53"/>
    <col min="6371" max="6371" width="1.7109375" style="53" customWidth="1"/>
    <col min="6372" max="6373" width="4.7109375" style="53" customWidth="1"/>
    <col min="6374" max="6374" width="54.140625" style="53" customWidth="1"/>
    <col min="6375" max="6375" width="52" style="53" customWidth="1"/>
    <col min="6376" max="6376" width="5.28515625" style="53" customWidth="1"/>
    <col min="6377" max="6377" width="5.85546875" style="53" bestFit="1" customWidth="1"/>
    <col min="6378" max="6378" width="16.42578125" style="53" customWidth="1"/>
    <col min="6379" max="6379" width="4.5703125" style="53" customWidth="1"/>
    <col min="6380" max="6380" width="14.140625" style="53" customWidth="1"/>
    <col min="6381" max="6381" width="27.140625" style="53" customWidth="1"/>
    <col min="6382" max="6382" width="16.28515625" style="53" customWidth="1"/>
    <col min="6383" max="6383" width="13.85546875" style="53" customWidth="1"/>
    <col min="6384" max="6626" width="9.140625" style="53"/>
    <col min="6627" max="6627" width="1.7109375" style="53" customWidth="1"/>
    <col min="6628" max="6629" width="4.7109375" style="53" customWidth="1"/>
    <col min="6630" max="6630" width="54.140625" style="53" customWidth="1"/>
    <col min="6631" max="6631" width="52" style="53" customWidth="1"/>
    <col min="6632" max="6632" width="5.28515625" style="53" customWidth="1"/>
    <col min="6633" max="6633" width="5.85546875" style="53" bestFit="1" customWidth="1"/>
    <col min="6634" max="6634" width="16.42578125" style="53" customWidth="1"/>
    <col min="6635" max="6635" width="4.5703125" style="53" customWidth="1"/>
    <col min="6636" max="6636" width="14.140625" style="53" customWidth="1"/>
    <col min="6637" max="6637" width="27.140625" style="53" customWidth="1"/>
    <col min="6638" max="6638" width="16.28515625" style="53" customWidth="1"/>
    <col min="6639" max="6639" width="13.85546875" style="53" customWidth="1"/>
    <col min="6640" max="6882" width="9.140625" style="53"/>
    <col min="6883" max="6883" width="1.7109375" style="53" customWidth="1"/>
    <col min="6884" max="6885" width="4.7109375" style="53" customWidth="1"/>
    <col min="6886" max="6886" width="54.140625" style="53" customWidth="1"/>
    <col min="6887" max="6887" width="52" style="53" customWidth="1"/>
    <col min="6888" max="6888" width="5.28515625" style="53" customWidth="1"/>
    <col min="6889" max="6889" width="5.85546875" style="53" bestFit="1" customWidth="1"/>
    <col min="6890" max="6890" width="16.42578125" style="53" customWidth="1"/>
    <col min="6891" max="6891" width="4.5703125" style="53" customWidth="1"/>
    <col min="6892" max="6892" width="14.140625" style="53" customWidth="1"/>
    <col min="6893" max="6893" width="27.140625" style="53" customWidth="1"/>
    <col min="6894" max="6894" width="16.28515625" style="53" customWidth="1"/>
    <col min="6895" max="6895" width="13.85546875" style="53" customWidth="1"/>
    <col min="6896" max="7138" width="9.140625" style="53"/>
    <col min="7139" max="7139" width="1.7109375" style="53" customWidth="1"/>
    <col min="7140" max="7141" width="4.7109375" style="53" customWidth="1"/>
    <col min="7142" max="7142" width="54.140625" style="53" customWidth="1"/>
    <col min="7143" max="7143" width="52" style="53" customWidth="1"/>
    <col min="7144" max="7144" width="5.28515625" style="53" customWidth="1"/>
    <col min="7145" max="7145" width="5.85546875" style="53" bestFit="1" customWidth="1"/>
    <col min="7146" max="7146" width="16.42578125" style="53" customWidth="1"/>
    <col min="7147" max="7147" width="4.5703125" style="53" customWidth="1"/>
    <col min="7148" max="7148" width="14.140625" style="53" customWidth="1"/>
    <col min="7149" max="7149" width="27.140625" style="53" customWidth="1"/>
    <col min="7150" max="7150" width="16.28515625" style="53" customWidth="1"/>
    <col min="7151" max="7151" width="13.85546875" style="53" customWidth="1"/>
    <col min="7152" max="7394" width="9.140625" style="53"/>
    <col min="7395" max="7395" width="1.7109375" style="53" customWidth="1"/>
    <col min="7396" max="7397" width="4.7109375" style="53" customWidth="1"/>
    <col min="7398" max="7398" width="54.140625" style="53" customWidth="1"/>
    <col min="7399" max="7399" width="52" style="53" customWidth="1"/>
    <col min="7400" max="7400" width="5.28515625" style="53" customWidth="1"/>
    <col min="7401" max="7401" width="5.85546875" style="53" bestFit="1" customWidth="1"/>
    <col min="7402" max="7402" width="16.42578125" style="53" customWidth="1"/>
    <col min="7403" max="7403" width="4.5703125" style="53" customWidth="1"/>
    <col min="7404" max="7404" width="14.140625" style="53" customWidth="1"/>
    <col min="7405" max="7405" width="27.140625" style="53" customWidth="1"/>
    <col min="7406" max="7406" width="16.28515625" style="53" customWidth="1"/>
    <col min="7407" max="7407" width="13.85546875" style="53" customWidth="1"/>
    <col min="7408" max="7650" width="9.140625" style="53"/>
    <col min="7651" max="7651" width="1.7109375" style="53" customWidth="1"/>
    <col min="7652" max="7653" width="4.7109375" style="53" customWidth="1"/>
    <col min="7654" max="7654" width="54.140625" style="53" customWidth="1"/>
    <col min="7655" max="7655" width="52" style="53" customWidth="1"/>
    <col min="7656" max="7656" width="5.28515625" style="53" customWidth="1"/>
    <col min="7657" max="7657" width="5.85546875" style="53" bestFit="1" customWidth="1"/>
    <col min="7658" max="7658" width="16.42578125" style="53" customWidth="1"/>
    <col min="7659" max="7659" width="4.5703125" style="53" customWidth="1"/>
    <col min="7660" max="7660" width="14.140625" style="53" customWidth="1"/>
    <col min="7661" max="7661" width="27.140625" style="53" customWidth="1"/>
    <col min="7662" max="7662" width="16.28515625" style="53" customWidth="1"/>
    <col min="7663" max="7663" width="13.85546875" style="53" customWidth="1"/>
    <col min="7664" max="7906" width="9.140625" style="53"/>
    <col min="7907" max="7907" width="1.7109375" style="53" customWidth="1"/>
    <col min="7908" max="7909" width="4.7109375" style="53" customWidth="1"/>
    <col min="7910" max="7910" width="54.140625" style="53" customWidth="1"/>
    <col min="7911" max="7911" width="52" style="53" customWidth="1"/>
    <col min="7912" max="7912" width="5.28515625" style="53" customWidth="1"/>
    <col min="7913" max="7913" width="5.85546875" style="53" bestFit="1" customWidth="1"/>
    <col min="7914" max="7914" width="16.42578125" style="53" customWidth="1"/>
    <col min="7915" max="7915" width="4.5703125" style="53" customWidth="1"/>
    <col min="7916" max="7916" width="14.140625" style="53" customWidth="1"/>
    <col min="7917" max="7917" width="27.140625" style="53" customWidth="1"/>
    <col min="7918" max="7918" width="16.28515625" style="53" customWidth="1"/>
    <col min="7919" max="7919" width="13.85546875" style="53" customWidth="1"/>
    <col min="7920" max="8162" width="9.140625" style="53"/>
    <col min="8163" max="8163" width="1.7109375" style="53" customWidth="1"/>
    <col min="8164" max="8165" width="4.7109375" style="53" customWidth="1"/>
    <col min="8166" max="8166" width="54.140625" style="53" customWidth="1"/>
    <col min="8167" max="8167" width="52" style="53" customWidth="1"/>
    <col min="8168" max="8168" width="5.28515625" style="53" customWidth="1"/>
    <col min="8169" max="8169" width="5.85546875" style="53" bestFit="1" customWidth="1"/>
    <col min="8170" max="8170" width="16.42578125" style="53" customWidth="1"/>
    <col min="8171" max="8171" width="4.5703125" style="53" customWidth="1"/>
    <col min="8172" max="8172" width="14.140625" style="53" customWidth="1"/>
    <col min="8173" max="8173" width="27.140625" style="53" customWidth="1"/>
    <col min="8174" max="8174" width="16.28515625" style="53" customWidth="1"/>
    <col min="8175" max="8175" width="13.85546875" style="53" customWidth="1"/>
    <col min="8176" max="8418" width="9.140625" style="53"/>
    <col min="8419" max="8419" width="1.7109375" style="53" customWidth="1"/>
    <col min="8420" max="8421" width="4.7109375" style="53" customWidth="1"/>
    <col min="8422" max="8422" width="54.140625" style="53" customWidth="1"/>
    <col min="8423" max="8423" width="52" style="53" customWidth="1"/>
    <col min="8424" max="8424" width="5.28515625" style="53" customWidth="1"/>
    <col min="8425" max="8425" width="5.85546875" style="53" bestFit="1" customWidth="1"/>
    <col min="8426" max="8426" width="16.42578125" style="53" customWidth="1"/>
    <col min="8427" max="8427" width="4.5703125" style="53" customWidth="1"/>
    <col min="8428" max="8428" width="14.140625" style="53" customWidth="1"/>
    <col min="8429" max="8429" width="27.140625" style="53" customWidth="1"/>
    <col min="8430" max="8430" width="16.28515625" style="53" customWidth="1"/>
    <col min="8431" max="8431" width="13.85546875" style="53" customWidth="1"/>
    <col min="8432" max="8674" width="9.140625" style="53"/>
    <col min="8675" max="8675" width="1.7109375" style="53" customWidth="1"/>
    <col min="8676" max="8677" width="4.7109375" style="53" customWidth="1"/>
    <col min="8678" max="8678" width="54.140625" style="53" customWidth="1"/>
    <col min="8679" max="8679" width="52" style="53" customWidth="1"/>
    <col min="8680" max="8680" width="5.28515625" style="53" customWidth="1"/>
    <col min="8681" max="8681" width="5.85546875" style="53" bestFit="1" customWidth="1"/>
    <col min="8682" max="8682" width="16.42578125" style="53" customWidth="1"/>
    <col min="8683" max="8683" width="4.5703125" style="53" customWidth="1"/>
    <col min="8684" max="8684" width="14.140625" style="53" customWidth="1"/>
    <col min="8685" max="8685" width="27.140625" style="53" customWidth="1"/>
    <col min="8686" max="8686" width="16.28515625" style="53" customWidth="1"/>
    <col min="8687" max="8687" width="13.85546875" style="53" customWidth="1"/>
    <col min="8688" max="8930" width="9.140625" style="53"/>
    <col min="8931" max="8931" width="1.7109375" style="53" customWidth="1"/>
    <col min="8932" max="8933" width="4.7109375" style="53" customWidth="1"/>
    <col min="8934" max="8934" width="54.140625" style="53" customWidth="1"/>
    <col min="8935" max="8935" width="52" style="53" customWidth="1"/>
    <col min="8936" max="8936" width="5.28515625" style="53" customWidth="1"/>
    <col min="8937" max="8937" width="5.85546875" style="53" bestFit="1" customWidth="1"/>
    <col min="8938" max="8938" width="16.42578125" style="53" customWidth="1"/>
    <col min="8939" max="8939" width="4.5703125" style="53" customWidth="1"/>
    <col min="8940" max="8940" width="14.140625" style="53" customWidth="1"/>
    <col min="8941" max="8941" width="27.140625" style="53" customWidth="1"/>
    <col min="8942" max="8942" width="16.28515625" style="53" customWidth="1"/>
    <col min="8943" max="8943" width="13.85546875" style="53" customWidth="1"/>
    <col min="8944" max="9186" width="9.140625" style="53"/>
    <col min="9187" max="9187" width="1.7109375" style="53" customWidth="1"/>
    <col min="9188" max="9189" width="4.7109375" style="53" customWidth="1"/>
    <col min="9190" max="9190" width="54.140625" style="53" customWidth="1"/>
    <col min="9191" max="9191" width="52" style="53" customWidth="1"/>
    <col min="9192" max="9192" width="5.28515625" style="53" customWidth="1"/>
    <col min="9193" max="9193" width="5.85546875" style="53" bestFit="1" customWidth="1"/>
    <col min="9194" max="9194" width="16.42578125" style="53" customWidth="1"/>
    <col min="9195" max="9195" width="4.5703125" style="53" customWidth="1"/>
    <col min="9196" max="9196" width="14.140625" style="53" customWidth="1"/>
    <col min="9197" max="9197" width="27.140625" style="53" customWidth="1"/>
    <col min="9198" max="9198" width="16.28515625" style="53" customWidth="1"/>
    <col min="9199" max="9199" width="13.85546875" style="53" customWidth="1"/>
    <col min="9200" max="9442" width="9.140625" style="53"/>
    <col min="9443" max="9443" width="1.7109375" style="53" customWidth="1"/>
    <col min="9444" max="9445" width="4.7109375" style="53" customWidth="1"/>
    <col min="9446" max="9446" width="54.140625" style="53" customWidth="1"/>
    <col min="9447" max="9447" width="52" style="53" customWidth="1"/>
    <col min="9448" max="9448" width="5.28515625" style="53" customWidth="1"/>
    <col min="9449" max="9449" width="5.85546875" style="53" bestFit="1" customWidth="1"/>
    <col min="9450" max="9450" width="16.42578125" style="53" customWidth="1"/>
    <col min="9451" max="9451" width="4.5703125" style="53" customWidth="1"/>
    <col min="9452" max="9452" width="14.140625" style="53" customWidth="1"/>
    <col min="9453" max="9453" width="27.140625" style="53" customWidth="1"/>
    <col min="9454" max="9454" width="16.28515625" style="53" customWidth="1"/>
    <col min="9455" max="9455" width="13.85546875" style="53" customWidth="1"/>
    <col min="9456" max="9698" width="9.140625" style="53"/>
    <col min="9699" max="9699" width="1.7109375" style="53" customWidth="1"/>
    <col min="9700" max="9701" width="4.7109375" style="53" customWidth="1"/>
    <col min="9702" max="9702" width="54.140625" style="53" customWidth="1"/>
    <col min="9703" max="9703" width="52" style="53" customWidth="1"/>
    <col min="9704" max="9704" width="5.28515625" style="53" customWidth="1"/>
    <col min="9705" max="9705" width="5.85546875" style="53" bestFit="1" customWidth="1"/>
    <col min="9706" max="9706" width="16.42578125" style="53" customWidth="1"/>
    <col min="9707" max="9707" width="4.5703125" style="53" customWidth="1"/>
    <col min="9708" max="9708" width="14.140625" style="53" customWidth="1"/>
    <col min="9709" max="9709" width="27.140625" style="53" customWidth="1"/>
    <col min="9710" max="9710" width="16.28515625" style="53" customWidth="1"/>
    <col min="9711" max="9711" width="13.85546875" style="53" customWidth="1"/>
    <col min="9712" max="9954" width="9.140625" style="53"/>
    <col min="9955" max="9955" width="1.7109375" style="53" customWidth="1"/>
    <col min="9956" max="9957" width="4.7109375" style="53" customWidth="1"/>
    <col min="9958" max="9958" width="54.140625" style="53" customWidth="1"/>
    <col min="9959" max="9959" width="52" style="53" customWidth="1"/>
    <col min="9960" max="9960" width="5.28515625" style="53" customWidth="1"/>
    <col min="9961" max="9961" width="5.85546875" style="53" bestFit="1" customWidth="1"/>
    <col min="9962" max="9962" width="16.42578125" style="53" customWidth="1"/>
    <col min="9963" max="9963" width="4.5703125" style="53" customWidth="1"/>
    <col min="9964" max="9964" width="14.140625" style="53" customWidth="1"/>
    <col min="9965" max="9965" width="27.140625" style="53" customWidth="1"/>
    <col min="9966" max="9966" width="16.28515625" style="53" customWidth="1"/>
    <col min="9967" max="9967" width="13.85546875" style="53" customWidth="1"/>
    <col min="9968" max="10210" width="9.140625" style="53"/>
    <col min="10211" max="10211" width="1.7109375" style="53" customWidth="1"/>
    <col min="10212" max="10213" width="4.7109375" style="53" customWidth="1"/>
    <col min="10214" max="10214" width="54.140625" style="53" customWidth="1"/>
    <col min="10215" max="10215" width="52" style="53" customWidth="1"/>
    <col min="10216" max="10216" width="5.28515625" style="53" customWidth="1"/>
    <col min="10217" max="10217" width="5.85546875" style="53" bestFit="1" customWidth="1"/>
    <col min="10218" max="10218" width="16.42578125" style="53" customWidth="1"/>
    <col min="10219" max="10219" width="4.5703125" style="53" customWidth="1"/>
    <col min="10220" max="10220" width="14.140625" style="53" customWidth="1"/>
    <col min="10221" max="10221" width="27.140625" style="53" customWidth="1"/>
    <col min="10222" max="10222" width="16.28515625" style="53" customWidth="1"/>
    <col min="10223" max="10223" width="13.85546875" style="53" customWidth="1"/>
    <col min="10224" max="10466" width="9.140625" style="53"/>
    <col min="10467" max="10467" width="1.7109375" style="53" customWidth="1"/>
    <col min="10468" max="10469" width="4.7109375" style="53" customWidth="1"/>
    <col min="10470" max="10470" width="54.140625" style="53" customWidth="1"/>
    <col min="10471" max="10471" width="52" style="53" customWidth="1"/>
    <col min="10472" max="10472" width="5.28515625" style="53" customWidth="1"/>
    <col min="10473" max="10473" width="5.85546875" style="53" bestFit="1" customWidth="1"/>
    <col min="10474" max="10474" width="16.42578125" style="53" customWidth="1"/>
    <col min="10475" max="10475" width="4.5703125" style="53" customWidth="1"/>
    <col min="10476" max="10476" width="14.140625" style="53" customWidth="1"/>
    <col min="10477" max="10477" width="27.140625" style="53" customWidth="1"/>
    <col min="10478" max="10478" width="16.28515625" style="53" customWidth="1"/>
    <col min="10479" max="10479" width="13.85546875" style="53" customWidth="1"/>
    <col min="10480" max="10722" width="9.140625" style="53"/>
    <col min="10723" max="10723" width="1.7109375" style="53" customWidth="1"/>
    <col min="10724" max="10725" width="4.7109375" style="53" customWidth="1"/>
    <col min="10726" max="10726" width="54.140625" style="53" customWidth="1"/>
    <col min="10727" max="10727" width="52" style="53" customWidth="1"/>
    <col min="10728" max="10728" width="5.28515625" style="53" customWidth="1"/>
    <col min="10729" max="10729" width="5.85546875" style="53" bestFit="1" customWidth="1"/>
    <col min="10730" max="10730" width="16.42578125" style="53" customWidth="1"/>
    <col min="10731" max="10731" width="4.5703125" style="53" customWidth="1"/>
    <col min="10732" max="10732" width="14.140625" style="53" customWidth="1"/>
    <col min="10733" max="10733" width="27.140625" style="53" customWidth="1"/>
    <col min="10734" max="10734" width="16.28515625" style="53" customWidth="1"/>
    <col min="10735" max="10735" width="13.85546875" style="53" customWidth="1"/>
    <col min="10736" max="10978" width="9.140625" style="53"/>
    <col min="10979" max="10979" width="1.7109375" style="53" customWidth="1"/>
    <col min="10980" max="10981" width="4.7109375" style="53" customWidth="1"/>
    <col min="10982" max="10982" width="54.140625" style="53" customWidth="1"/>
    <col min="10983" max="10983" width="52" style="53" customWidth="1"/>
    <col min="10984" max="10984" width="5.28515625" style="53" customWidth="1"/>
    <col min="10985" max="10985" width="5.85546875" style="53" bestFit="1" customWidth="1"/>
    <col min="10986" max="10986" width="16.42578125" style="53" customWidth="1"/>
    <col min="10987" max="10987" width="4.5703125" style="53" customWidth="1"/>
    <col min="10988" max="10988" width="14.140625" style="53" customWidth="1"/>
    <col min="10989" max="10989" width="27.140625" style="53" customWidth="1"/>
    <col min="10990" max="10990" width="16.28515625" style="53" customWidth="1"/>
    <col min="10991" max="10991" width="13.85546875" style="53" customWidth="1"/>
    <col min="10992" max="11234" width="9.140625" style="53"/>
    <col min="11235" max="11235" width="1.7109375" style="53" customWidth="1"/>
    <col min="11236" max="11237" width="4.7109375" style="53" customWidth="1"/>
    <col min="11238" max="11238" width="54.140625" style="53" customWidth="1"/>
    <col min="11239" max="11239" width="52" style="53" customWidth="1"/>
    <col min="11240" max="11240" width="5.28515625" style="53" customWidth="1"/>
    <col min="11241" max="11241" width="5.85546875" style="53" bestFit="1" customWidth="1"/>
    <col min="11242" max="11242" width="16.42578125" style="53" customWidth="1"/>
    <col min="11243" max="11243" width="4.5703125" style="53" customWidth="1"/>
    <col min="11244" max="11244" width="14.140625" style="53" customWidth="1"/>
    <col min="11245" max="11245" width="27.140625" style="53" customWidth="1"/>
    <col min="11246" max="11246" width="16.28515625" style="53" customWidth="1"/>
    <col min="11247" max="11247" width="13.85546875" style="53" customWidth="1"/>
    <col min="11248" max="11490" width="9.140625" style="53"/>
    <col min="11491" max="11491" width="1.7109375" style="53" customWidth="1"/>
    <col min="11492" max="11493" width="4.7109375" style="53" customWidth="1"/>
    <col min="11494" max="11494" width="54.140625" style="53" customWidth="1"/>
    <col min="11495" max="11495" width="52" style="53" customWidth="1"/>
    <col min="11496" max="11496" width="5.28515625" style="53" customWidth="1"/>
    <col min="11497" max="11497" width="5.85546875" style="53" bestFit="1" customWidth="1"/>
    <col min="11498" max="11498" width="16.42578125" style="53" customWidth="1"/>
    <col min="11499" max="11499" width="4.5703125" style="53" customWidth="1"/>
    <col min="11500" max="11500" width="14.140625" style="53" customWidth="1"/>
    <col min="11501" max="11501" width="27.140625" style="53" customWidth="1"/>
    <col min="11502" max="11502" width="16.28515625" style="53" customWidth="1"/>
    <col min="11503" max="11503" width="13.85546875" style="53" customWidth="1"/>
    <col min="11504" max="11746" width="9.140625" style="53"/>
    <col min="11747" max="11747" width="1.7109375" style="53" customWidth="1"/>
    <col min="11748" max="11749" width="4.7109375" style="53" customWidth="1"/>
    <col min="11750" max="11750" width="54.140625" style="53" customWidth="1"/>
    <col min="11751" max="11751" width="52" style="53" customWidth="1"/>
    <col min="11752" max="11752" width="5.28515625" style="53" customWidth="1"/>
    <col min="11753" max="11753" width="5.85546875" style="53" bestFit="1" customWidth="1"/>
    <col min="11754" max="11754" width="16.42578125" style="53" customWidth="1"/>
    <col min="11755" max="11755" width="4.5703125" style="53" customWidth="1"/>
    <col min="11756" max="11756" width="14.140625" style="53" customWidth="1"/>
    <col min="11757" max="11757" width="27.140625" style="53" customWidth="1"/>
    <col min="11758" max="11758" width="16.28515625" style="53" customWidth="1"/>
    <col min="11759" max="11759" width="13.85546875" style="53" customWidth="1"/>
    <col min="11760" max="12002" width="9.140625" style="53"/>
    <col min="12003" max="12003" width="1.7109375" style="53" customWidth="1"/>
    <col min="12004" max="12005" width="4.7109375" style="53" customWidth="1"/>
    <col min="12006" max="12006" width="54.140625" style="53" customWidth="1"/>
    <col min="12007" max="12007" width="52" style="53" customWidth="1"/>
    <col min="12008" max="12008" width="5.28515625" style="53" customWidth="1"/>
    <col min="12009" max="12009" width="5.85546875" style="53" bestFit="1" customWidth="1"/>
    <col min="12010" max="12010" width="16.42578125" style="53" customWidth="1"/>
    <col min="12011" max="12011" width="4.5703125" style="53" customWidth="1"/>
    <col min="12012" max="12012" width="14.140625" style="53" customWidth="1"/>
    <col min="12013" max="12013" width="27.140625" style="53" customWidth="1"/>
    <col min="12014" max="12014" width="16.28515625" style="53" customWidth="1"/>
    <col min="12015" max="12015" width="13.85546875" style="53" customWidth="1"/>
    <col min="12016" max="12258" width="9.140625" style="53"/>
    <col min="12259" max="12259" width="1.7109375" style="53" customWidth="1"/>
    <col min="12260" max="12261" width="4.7109375" style="53" customWidth="1"/>
    <col min="12262" max="12262" width="54.140625" style="53" customWidth="1"/>
    <col min="12263" max="12263" width="52" style="53" customWidth="1"/>
    <col min="12264" max="12264" width="5.28515625" style="53" customWidth="1"/>
    <col min="12265" max="12265" width="5.85546875" style="53" bestFit="1" customWidth="1"/>
    <col min="12266" max="12266" width="16.42578125" style="53" customWidth="1"/>
    <col min="12267" max="12267" width="4.5703125" style="53" customWidth="1"/>
    <col min="12268" max="12268" width="14.140625" style="53" customWidth="1"/>
    <col min="12269" max="12269" width="27.140625" style="53" customWidth="1"/>
    <col min="12270" max="12270" width="16.28515625" style="53" customWidth="1"/>
    <col min="12271" max="12271" width="13.85546875" style="53" customWidth="1"/>
    <col min="12272" max="12514" width="9.140625" style="53"/>
    <col min="12515" max="12515" width="1.7109375" style="53" customWidth="1"/>
    <col min="12516" max="12517" width="4.7109375" style="53" customWidth="1"/>
    <col min="12518" max="12518" width="54.140625" style="53" customWidth="1"/>
    <col min="12519" max="12519" width="52" style="53" customWidth="1"/>
    <col min="12520" max="12520" width="5.28515625" style="53" customWidth="1"/>
    <col min="12521" max="12521" width="5.85546875" style="53" bestFit="1" customWidth="1"/>
    <col min="12522" max="12522" width="16.42578125" style="53" customWidth="1"/>
    <col min="12523" max="12523" width="4.5703125" style="53" customWidth="1"/>
    <col min="12524" max="12524" width="14.140625" style="53" customWidth="1"/>
    <col min="12525" max="12525" width="27.140625" style="53" customWidth="1"/>
    <col min="12526" max="12526" width="16.28515625" style="53" customWidth="1"/>
    <col min="12527" max="12527" width="13.85546875" style="53" customWidth="1"/>
    <col min="12528" max="12770" width="9.140625" style="53"/>
    <col min="12771" max="12771" width="1.7109375" style="53" customWidth="1"/>
    <col min="12772" max="12773" width="4.7109375" style="53" customWidth="1"/>
    <col min="12774" max="12774" width="54.140625" style="53" customWidth="1"/>
    <col min="12775" max="12775" width="52" style="53" customWidth="1"/>
    <col min="12776" max="12776" width="5.28515625" style="53" customWidth="1"/>
    <col min="12777" max="12777" width="5.85546875" style="53" bestFit="1" customWidth="1"/>
    <col min="12778" max="12778" width="16.42578125" style="53" customWidth="1"/>
    <col min="12779" max="12779" width="4.5703125" style="53" customWidth="1"/>
    <col min="12780" max="12780" width="14.140625" style="53" customWidth="1"/>
    <col min="12781" max="12781" width="27.140625" style="53" customWidth="1"/>
    <col min="12782" max="12782" width="16.28515625" style="53" customWidth="1"/>
    <col min="12783" max="12783" width="13.85546875" style="53" customWidth="1"/>
    <col min="12784" max="13026" width="9.140625" style="53"/>
    <col min="13027" max="13027" width="1.7109375" style="53" customWidth="1"/>
    <col min="13028" max="13029" width="4.7109375" style="53" customWidth="1"/>
    <col min="13030" max="13030" width="54.140625" style="53" customWidth="1"/>
    <col min="13031" max="13031" width="52" style="53" customWidth="1"/>
    <col min="13032" max="13032" width="5.28515625" style="53" customWidth="1"/>
    <col min="13033" max="13033" width="5.85546875" style="53" bestFit="1" customWidth="1"/>
    <col min="13034" max="13034" width="16.42578125" style="53" customWidth="1"/>
    <col min="13035" max="13035" width="4.5703125" style="53" customWidth="1"/>
    <col min="13036" max="13036" width="14.140625" style="53" customWidth="1"/>
    <col min="13037" max="13037" width="27.140625" style="53" customWidth="1"/>
    <col min="13038" max="13038" width="16.28515625" style="53" customWidth="1"/>
    <col min="13039" max="13039" width="13.85546875" style="53" customWidth="1"/>
    <col min="13040" max="13282" width="9.140625" style="53"/>
    <col min="13283" max="13283" width="1.7109375" style="53" customWidth="1"/>
    <col min="13284" max="13285" width="4.7109375" style="53" customWidth="1"/>
    <col min="13286" max="13286" width="54.140625" style="53" customWidth="1"/>
    <col min="13287" max="13287" width="52" style="53" customWidth="1"/>
    <col min="13288" max="13288" width="5.28515625" style="53" customWidth="1"/>
    <col min="13289" max="13289" width="5.85546875" style="53" bestFit="1" customWidth="1"/>
    <col min="13290" max="13290" width="16.42578125" style="53" customWidth="1"/>
    <col min="13291" max="13291" width="4.5703125" style="53" customWidth="1"/>
    <col min="13292" max="13292" width="14.140625" style="53" customWidth="1"/>
    <col min="13293" max="13293" width="27.140625" style="53" customWidth="1"/>
    <col min="13294" max="13294" width="16.28515625" style="53" customWidth="1"/>
    <col min="13295" max="13295" width="13.85546875" style="53" customWidth="1"/>
    <col min="13296" max="13538" width="9.140625" style="53"/>
    <col min="13539" max="13539" width="1.7109375" style="53" customWidth="1"/>
    <col min="13540" max="13541" width="4.7109375" style="53" customWidth="1"/>
    <col min="13542" max="13542" width="54.140625" style="53" customWidth="1"/>
    <col min="13543" max="13543" width="52" style="53" customWidth="1"/>
    <col min="13544" max="13544" width="5.28515625" style="53" customWidth="1"/>
    <col min="13545" max="13545" width="5.85546875" style="53" bestFit="1" customWidth="1"/>
    <col min="13546" max="13546" width="16.42578125" style="53" customWidth="1"/>
    <col min="13547" max="13547" width="4.5703125" style="53" customWidth="1"/>
    <col min="13548" max="13548" width="14.140625" style="53" customWidth="1"/>
    <col min="13549" max="13549" width="27.140625" style="53" customWidth="1"/>
    <col min="13550" max="13550" width="16.28515625" style="53" customWidth="1"/>
    <col min="13551" max="13551" width="13.85546875" style="53" customWidth="1"/>
    <col min="13552" max="13794" width="9.140625" style="53"/>
    <col min="13795" max="13795" width="1.7109375" style="53" customWidth="1"/>
    <col min="13796" max="13797" width="4.7109375" style="53" customWidth="1"/>
    <col min="13798" max="13798" width="54.140625" style="53" customWidth="1"/>
    <col min="13799" max="13799" width="52" style="53" customWidth="1"/>
    <col min="13800" max="13800" width="5.28515625" style="53" customWidth="1"/>
    <col min="13801" max="13801" width="5.85546875" style="53" bestFit="1" customWidth="1"/>
    <col min="13802" max="13802" width="16.42578125" style="53" customWidth="1"/>
    <col min="13803" max="13803" width="4.5703125" style="53" customWidth="1"/>
    <col min="13804" max="13804" width="14.140625" style="53" customWidth="1"/>
    <col min="13805" max="13805" width="27.140625" style="53" customWidth="1"/>
    <col min="13806" max="13806" width="16.28515625" style="53" customWidth="1"/>
    <col min="13807" max="13807" width="13.85546875" style="53" customWidth="1"/>
    <col min="13808" max="14050" width="9.140625" style="53"/>
    <col min="14051" max="14051" width="1.7109375" style="53" customWidth="1"/>
    <col min="14052" max="14053" width="4.7109375" style="53" customWidth="1"/>
    <col min="14054" max="14054" width="54.140625" style="53" customWidth="1"/>
    <col min="14055" max="14055" width="52" style="53" customWidth="1"/>
    <col min="14056" max="14056" width="5.28515625" style="53" customWidth="1"/>
    <col min="14057" max="14057" width="5.85546875" style="53" bestFit="1" customWidth="1"/>
    <col min="14058" max="14058" width="16.42578125" style="53" customWidth="1"/>
    <col min="14059" max="14059" width="4.5703125" style="53" customWidth="1"/>
    <col min="14060" max="14060" width="14.140625" style="53" customWidth="1"/>
    <col min="14061" max="14061" width="27.140625" style="53" customWidth="1"/>
    <col min="14062" max="14062" width="16.28515625" style="53" customWidth="1"/>
    <col min="14063" max="14063" width="13.85546875" style="53" customWidth="1"/>
    <col min="14064" max="14306" width="9.140625" style="53"/>
    <col min="14307" max="14307" width="1.7109375" style="53" customWidth="1"/>
    <col min="14308" max="14309" width="4.7109375" style="53" customWidth="1"/>
    <col min="14310" max="14310" width="54.140625" style="53" customWidth="1"/>
    <col min="14311" max="14311" width="52" style="53" customWidth="1"/>
    <col min="14312" max="14312" width="5.28515625" style="53" customWidth="1"/>
    <col min="14313" max="14313" width="5.85546875" style="53" bestFit="1" customWidth="1"/>
    <col min="14314" max="14314" width="16.42578125" style="53" customWidth="1"/>
    <col min="14315" max="14315" width="4.5703125" style="53" customWidth="1"/>
    <col min="14316" max="14316" width="14.140625" style="53" customWidth="1"/>
    <col min="14317" max="14317" width="27.140625" style="53" customWidth="1"/>
    <col min="14318" max="14318" width="16.28515625" style="53" customWidth="1"/>
    <col min="14319" max="14319" width="13.85546875" style="53" customWidth="1"/>
    <col min="14320" max="14562" width="9.140625" style="53"/>
    <col min="14563" max="14563" width="1.7109375" style="53" customWidth="1"/>
    <col min="14564" max="14565" width="4.7109375" style="53" customWidth="1"/>
    <col min="14566" max="14566" width="54.140625" style="53" customWidth="1"/>
    <col min="14567" max="14567" width="52" style="53" customWidth="1"/>
    <col min="14568" max="14568" width="5.28515625" style="53" customWidth="1"/>
    <col min="14569" max="14569" width="5.85546875" style="53" bestFit="1" customWidth="1"/>
    <col min="14570" max="14570" width="16.42578125" style="53" customWidth="1"/>
    <col min="14571" max="14571" width="4.5703125" style="53" customWidth="1"/>
    <col min="14572" max="14572" width="14.140625" style="53" customWidth="1"/>
    <col min="14573" max="14573" width="27.140625" style="53" customWidth="1"/>
    <col min="14574" max="14574" width="16.28515625" style="53" customWidth="1"/>
    <col min="14575" max="14575" width="13.85546875" style="53" customWidth="1"/>
    <col min="14576" max="14818" width="9.140625" style="53"/>
    <col min="14819" max="14819" width="1.7109375" style="53" customWidth="1"/>
    <col min="14820" max="14821" width="4.7109375" style="53" customWidth="1"/>
    <col min="14822" max="14822" width="54.140625" style="53" customWidth="1"/>
    <col min="14823" max="14823" width="52" style="53" customWidth="1"/>
    <col min="14824" max="14824" width="5.28515625" style="53" customWidth="1"/>
    <col min="14825" max="14825" width="5.85546875" style="53" bestFit="1" customWidth="1"/>
    <col min="14826" max="14826" width="16.42578125" style="53" customWidth="1"/>
    <col min="14827" max="14827" width="4.5703125" style="53" customWidth="1"/>
    <col min="14828" max="14828" width="14.140625" style="53" customWidth="1"/>
    <col min="14829" max="14829" width="27.140625" style="53" customWidth="1"/>
    <col min="14830" max="14830" width="16.28515625" style="53" customWidth="1"/>
    <col min="14831" max="14831" width="13.85546875" style="53" customWidth="1"/>
    <col min="14832" max="15074" width="9.140625" style="53"/>
    <col min="15075" max="15075" width="1.7109375" style="53" customWidth="1"/>
    <col min="15076" max="15077" width="4.7109375" style="53" customWidth="1"/>
    <col min="15078" max="15078" width="54.140625" style="53" customWidth="1"/>
    <col min="15079" max="15079" width="52" style="53" customWidth="1"/>
    <col min="15080" max="15080" width="5.28515625" style="53" customWidth="1"/>
    <col min="15081" max="15081" width="5.85546875" style="53" bestFit="1" customWidth="1"/>
    <col min="15082" max="15082" width="16.42578125" style="53" customWidth="1"/>
    <col min="15083" max="15083" width="4.5703125" style="53" customWidth="1"/>
    <col min="15084" max="15084" width="14.140625" style="53" customWidth="1"/>
    <col min="15085" max="15085" width="27.140625" style="53" customWidth="1"/>
    <col min="15086" max="15086" width="16.28515625" style="53" customWidth="1"/>
    <col min="15087" max="15087" width="13.85546875" style="53" customWidth="1"/>
    <col min="15088" max="15330" width="9.140625" style="53"/>
    <col min="15331" max="15331" width="1.7109375" style="53" customWidth="1"/>
    <col min="15332" max="15333" width="4.7109375" style="53" customWidth="1"/>
    <col min="15334" max="15334" width="54.140625" style="53" customWidth="1"/>
    <col min="15335" max="15335" width="52" style="53" customWidth="1"/>
    <col min="15336" max="15336" width="5.28515625" style="53" customWidth="1"/>
    <col min="15337" max="15337" width="5.85546875" style="53" bestFit="1" customWidth="1"/>
    <col min="15338" max="15338" width="16.42578125" style="53" customWidth="1"/>
    <col min="15339" max="15339" width="4.5703125" style="53" customWidth="1"/>
    <col min="15340" max="15340" width="14.140625" style="53" customWidth="1"/>
    <col min="15341" max="15341" width="27.140625" style="53" customWidth="1"/>
    <col min="15342" max="15342" width="16.28515625" style="53" customWidth="1"/>
    <col min="15343" max="15343" width="13.85546875" style="53" customWidth="1"/>
    <col min="15344" max="15586" width="9.140625" style="53"/>
    <col min="15587" max="15587" width="1.7109375" style="53" customWidth="1"/>
    <col min="15588" max="15589" width="4.7109375" style="53" customWidth="1"/>
    <col min="15590" max="15590" width="54.140625" style="53" customWidth="1"/>
    <col min="15591" max="15591" width="52" style="53" customWidth="1"/>
    <col min="15592" max="15592" width="5.28515625" style="53" customWidth="1"/>
    <col min="15593" max="15593" width="5.85546875" style="53" bestFit="1" customWidth="1"/>
    <col min="15594" max="15594" width="16.42578125" style="53" customWidth="1"/>
    <col min="15595" max="15595" width="4.5703125" style="53" customWidth="1"/>
    <col min="15596" max="15596" width="14.140625" style="53" customWidth="1"/>
    <col min="15597" max="15597" width="27.140625" style="53" customWidth="1"/>
    <col min="15598" max="15598" width="16.28515625" style="53" customWidth="1"/>
    <col min="15599" max="15599" width="13.85546875" style="53" customWidth="1"/>
    <col min="15600" max="15842" width="9.140625" style="53"/>
    <col min="15843" max="15843" width="1.7109375" style="53" customWidth="1"/>
    <col min="15844" max="15845" width="4.7109375" style="53" customWidth="1"/>
    <col min="15846" max="15846" width="54.140625" style="53" customWidth="1"/>
    <col min="15847" max="15847" width="52" style="53" customWidth="1"/>
    <col min="15848" max="15848" width="5.28515625" style="53" customWidth="1"/>
    <col min="15849" max="15849" width="5.85546875" style="53" bestFit="1" customWidth="1"/>
    <col min="15850" max="15850" width="16.42578125" style="53" customWidth="1"/>
    <col min="15851" max="15851" width="4.5703125" style="53" customWidth="1"/>
    <col min="15852" max="15852" width="14.140625" style="53" customWidth="1"/>
    <col min="15853" max="15853" width="27.140625" style="53" customWidth="1"/>
    <col min="15854" max="15854" width="16.28515625" style="53" customWidth="1"/>
    <col min="15855" max="15855" width="13.85546875" style="53" customWidth="1"/>
    <col min="15856" max="16098" width="9.140625" style="53"/>
    <col min="16099" max="16099" width="1.7109375" style="53" customWidth="1"/>
    <col min="16100" max="16101" width="4.7109375" style="53" customWidth="1"/>
    <col min="16102" max="16102" width="54.140625" style="53" customWidth="1"/>
    <col min="16103" max="16103" width="52" style="53" customWidth="1"/>
    <col min="16104" max="16104" width="5.28515625" style="53" customWidth="1"/>
    <col min="16105" max="16105" width="5.85546875" style="53" bestFit="1" customWidth="1"/>
    <col min="16106" max="16106" width="16.42578125" style="53" customWidth="1"/>
    <col min="16107" max="16107" width="4.5703125" style="53" customWidth="1"/>
    <col min="16108" max="16108" width="14.140625" style="53" customWidth="1"/>
    <col min="16109" max="16109" width="27.140625" style="53" customWidth="1"/>
    <col min="16110" max="16110" width="16.28515625" style="53" customWidth="1"/>
    <col min="16111" max="16111" width="13.85546875" style="53" customWidth="1"/>
    <col min="16112" max="16384" width="9.140625" style="53"/>
  </cols>
  <sheetData>
    <row r="1" spans="2:13" ht="15" customHeight="1" x14ac:dyDescent="0.25"/>
    <row r="2" spans="2:13" s="5" customFormat="1" ht="15.75" hidden="1" x14ac:dyDescent="0.25">
      <c r="B2" s="2"/>
      <c r="C2" s="1645" t="s">
        <v>431</v>
      </c>
      <c r="D2" s="1645"/>
      <c r="E2" s="1645"/>
      <c r="F2" s="1645"/>
      <c r="G2" s="1645"/>
      <c r="H2" s="1645"/>
      <c r="I2" s="1645"/>
      <c r="J2" s="1104"/>
      <c r="K2" s="451"/>
    </row>
    <row r="3" spans="2:13" s="5" customFormat="1" ht="13.5" customHeight="1" x14ac:dyDescent="0.25">
      <c r="B3" s="2"/>
      <c r="C3" s="1646" t="s">
        <v>532</v>
      </c>
      <c r="D3" s="1646"/>
      <c r="E3" s="1646"/>
      <c r="F3" s="1646"/>
      <c r="G3" s="1646"/>
      <c r="H3" s="1646"/>
      <c r="I3" s="1646"/>
      <c r="J3" s="1646"/>
      <c r="K3" s="1646"/>
    </row>
    <row r="4" spans="2:13" s="4" customFormat="1" ht="14.25" customHeight="1" x14ac:dyDescent="0.25">
      <c r="B4" s="2"/>
      <c r="C4" s="1646" t="s">
        <v>1</v>
      </c>
      <c r="D4" s="1646"/>
      <c r="E4" s="1646"/>
      <c r="F4" s="1646"/>
      <c r="G4" s="1646"/>
      <c r="H4" s="1646"/>
      <c r="I4" s="1646"/>
      <c r="J4" s="1646"/>
      <c r="K4" s="1646"/>
    </row>
    <row r="5" spans="2:13" s="4" customFormat="1" ht="15.75" x14ac:dyDescent="0.25">
      <c r="B5" s="2"/>
      <c r="C5" s="452"/>
      <c r="D5" s="453"/>
      <c r="E5" s="454"/>
      <c r="F5" s="455"/>
      <c r="G5" s="457"/>
      <c r="H5" s="457"/>
      <c r="I5" s="457"/>
      <c r="J5" s="457"/>
      <c r="K5" s="458"/>
    </row>
    <row r="6" spans="2:13" s="4" customFormat="1" ht="18" customHeight="1" x14ac:dyDescent="0.25">
      <c r="B6" s="2"/>
      <c r="C6" s="682" t="s">
        <v>2</v>
      </c>
      <c r="D6" s="1505" t="s">
        <v>526</v>
      </c>
      <c r="E6" s="1505"/>
      <c r="F6" s="459"/>
      <c r="G6" s="457"/>
      <c r="H6" s="457"/>
      <c r="I6" s="457"/>
      <c r="J6" s="457"/>
      <c r="K6" s="458"/>
    </row>
    <row r="7" spans="2:13" s="4" customFormat="1" ht="3" customHeight="1" thickBot="1" x14ac:dyDescent="0.3">
      <c r="B7" s="1742"/>
      <c r="C7" s="6"/>
      <c r="D7" s="8"/>
      <c r="E7" s="9"/>
      <c r="F7" s="10"/>
      <c r="G7" s="12"/>
      <c r="H7" s="12"/>
      <c r="I7" s="12"/>
      <c r="J7" s="12"/>
      <c r="K7" s="1756"/>
    </row>
    <row r="8" spans="2:13" s="15" customFormat="1" ht="32.25" customHeight="1" thickTop="1" x14ac:dyDescent="0.25">
      <c r="B8" s="1742"/>
      <c r="C8" s="1746" t="s">
        <v>496</v>
      </c>
      <c r="D8" s="1748" t="s">
        <v>418</v>
      </c>
      <c r="E8" s="1749"/>
      <c r="F8" s="1752" t="s">
        <v>417</v>
      </c>
      <c r="G8" s="1740" t="s">
        <v>530</v>
      </c>
      <c r="H8" s="1740" t="s">
        <v>531</v>
      </c>
      <c r="I8" s="1740" t="s">
        <v>501</v>
      </c>
      <c r="J8" s="1754" t="s">
        <v>469</v>
      </c>
      <c r="K8" s="1756"/>
    </row>
    <row r="9" spans="2:13" s="15" customFormat="1" x14ac:dyDescent="0.25">
      <c r="B9" s="1742"/>
      <c r="C9" s="1747"/>
      <c r="D9" s="1750"/>
      <c r="E9" s="1751"/>
      <c r="F9" s="1753"/>
      <c r="G9" s="1741"/>
      <c r="H9" s="1741"/>
      <c r="I9" s="1741"/>
      <c r="J9" s="1755"/>
      <c r="K9" s="1756"/>
    </row>
    <row r="10" spans="2:13" s="29" customFormat="1" ht="24" customHeight="1" x14ac:dyDescent="0.25">
      <c r="B10" s="1742"/>
      <c r="C10" s="1743" t="s">
        <v>4</v>
      </c>
      <c r="D10" s="1637"/>
      <c r="E10" s="1636"/>
      <c r="F10" s="23"/>
      <c r="G10" s="608">
        <f>SUM(G18:G29)</f>
        <v>23706082971</v>
      </c>
      <c r="H10" s="608">
        <f t="shared" ref="H10" si="0">SUM(H18:H29)</f>
        <v>42354570542</v>
      </c>
      <c r="I10" s="1111">
        <f>SUM(I11:I29)</f>
        <v>37348487571</v>
      </c>
      <c r="J10" s="854"/>
      <c r="K10" s="1756"/>
      <c r="M10" s="396">
        <v>-37348487571</v>
      </c>
    </row>
    <row r="11" spans="2:13" s="62" customFormat="1" ht="18" customHeight="1" x14ac:dyDescent="0.25">
      <c r="B11" s="1742"/>
      <c r="C11" s="49" t="s">
        <v>5</v>
      </c>
      <c r="D11" s="1738" t="s">
        <v>69</v>
      </c>
      <c r="E11" s="1739"/>
      <c r="F11" s="469" t="s">
        <v>137</v>
      </c>
      <c r="G11" s="626">
        <v>300000000</v>
      </c>
      <c r="H11" s="626">
        <v>250000000</v>
      </c>
      <c r="I11" s="626">
        <f t="shared" ref="I11:I28" si="1">H11-G11</f>
        <v>-50000000</v>
      </c>
      <c r="J11" s="117" t="s">
        <v>527</v>
      </c>
      <c r="K11" s="1756"/>
    </row>
    <row r="12" spans="2:13" s="62" customFormat="1" ht="20.25" customHeight="1" x14ac:dyDescent="0.25">
      <c r="B12" s="1742"/>
      <c r="C12" s="49" t="s">
        <v>10</v>
      </c>
      <c r="D12" s="1738" t="s">
        <v>78</v>
      </c>
      <c r="E12" s="1739"/>
      <c r="F12" s="469" t="s">
        <v>137</v>
      </c>
      <c r="G12" s="626">
        <v>750000000</v>
      </c>
      <c r="H12" s="626">
        <v>800000000</v>
      </c>
      <c r="I12" s="626">
        <f t="shared" si="1"/>
        <v>50000000</v>
      </c>
      <c r="J12" s="117" t="s">
        <v>527</v>
      </c>
      <c r="K12" s="1756"/>
    </row>
    <row r="13" spans="2:13" s="62" customFormat="1" ht="21" customHeight="1" x14ac:dyDescent="0.25">
      <c r="B13" s="1742"/>
      <c r="C13" s="49" t="s">
        <v>13</v>
      </c>
      <c r="D13" s="1738" t="s">
        <v>80</v>
      </c>
      <c r="E13" s="1739"/>
      <c r="F13" s="469" t="s">
        <v>137</v>
      </c>
      <c r="G13" s="626">
        <v>850000000</v>
      </c>
      <c r="H13" s="626">
        <v>1350000000</v>
      </c>
      <c r="I13" s="626">
        <f t="shared" si="1"/>
        <v>500000000</v>
      </c>
      <c r="J13" s="117" t="s">
        <v>528</v>
      </c>
      <c r="K13" s="1756"/>
    </row>
    <row r="14" spans="2:13" s="62" customFormat="1" ht="17.25" customHeight="1" x14ac:dyDescent="0.25">
      <c r="B14" s="1742"/>
      <c r="C14" s="39" t="s">
        <v>16</v>
      </c>
      <c r="D14" s="1738" t="s">
        <v>130</v>
      </c>
      <c r="E14" s="1739"/>
      <c r="F14" s="469" t="s">
        <v>137</v>
      </c>
      <c r="G14" s="626">
        <v>12000000000</v>
      </c>
      <c r="H14" s="626">
        <v>13000000000</v>
      </c>
      <c r="I14" s="626">
        <f t="shared" si="1"/>
        <v>1000000000</v>
      </c>
      <c r="J14" s="117" t="s">
        <v>527</v>
      </c>
      <c r="K14" s="1756"/>
    </row>
    <row r="15" spans="2:13" s="113" customFormat="1" ht="26.25" customHeight="1" x14ac:dyDescent="0.25">
      <c r="B15" s="1742"/>
      <c r="C15" s="39" t="s">
        <v>19</v>
      </c>
      <c r="D15" s="1582" t="s">
        <v>136</v>
      </c>
      <c r="E15" s="1583"/>
      <c r="F15" s="469" t="s">
        <v>137</v>
      </c>
      <c r="G15" s="626">
        <v>26300000000</v>
      </c>
      <c r="H15" s="626">
        <v>37000000000</v>
      </c>
      <c r="I15" s="626">
        <f t="shared" si="1"/>
        <v>10700000000</v>
      </c>
      <c r="J15" s="117" t="s">
        <v>529</v>
      </c>
      <c r="K15" s="1756"/>
    </row>
    <row r="16" spans="2:13" s="62" customFormat="1" ht="26.25" customHeight="1" x14ac:dyDescent="0.25">
      <c r="B16" s="1742"/>
      <c r="C16" s="39" t="s">
        <v>27</v>
      </c>
      <c r="D16" s="1582" t="s">
        <v>145</v>
      </c>
      <c r="E16" s="1583"/>
      <c r="F16" s="1101" t="s">
        <v>146</v>
      </c>
      <c r="G16" s="625">
        <v>21200000000</v>
      </c>
      <c r="H16" s="625">
        <v>27200000000</v>
      </c>
      <c r="I16" s="625">
        <f t="shared" si="1"/>
        <v>6000000000</v>
      </c>
      <c r="J16" s="117" t="s">
        <v>529</v>
      </c>
      <c r="K16" s="1756"/>
    </row>
    <row r="17" spans="2:11" s="29" customFormat="1" ht="19.5" customHeight="1" x14ac:dyDescent="0.25">
      <c r="B17" s="1742"/>
      <c r="C17" s="39" t="s">
        <v>30</v>
      </c>
      <c r="D17" s="1582" t="s">
        <v>167</v>
      </c>
      <c r="E17" s="1583"/>
      <c r="F17" s="469" t="s">
        <v>168</v>
      </c>
      <c r="G17" s="630">
        <v>11065000000</v>
      </c>
      <c r="H17" s="630">
        <v>11565000000</v>
      </c>
      <c r="I17" s="630">
        <f t="shared" si="1"/>
        <v>500000000</v>
      </c>
      <c r="J17" s="1112" t="s">
        <v>527</v>
      </c>
      <c r="K17" s="1756"/>
    </row>
    <row r="18" spans="2:11" s="62" customFormat="1" ht="17.25" customHeight="1" x14ac:dyDescent="0.25">
      <c r="B18" s="1742"/>
      <c r="C18" s="49" t="s">
        <v>8</v>
      </c>
      <c r="D18" s="1744" t="s">
        <v>172</v>
      </c>
      <c r="E18" s="1745"/>
      <c r="F18" s="760" t="s">
        <v>230</v>
      </c>
      <c r="G18" s="647">
        <v>3000000000</v>
      </c>
      <c r="H18" s="647">
        <v>9000000000</v>
      </c>
      <c r="I18" s="647">
        <f t="shared" si="1"/>
        <v>6000000000</v>
      </c>
      <c r="J18" s="117" t="s">
        <v>528</v>
      </c>
      <c r="K18" s="1756"/>
    </row>
    <row r="19" spans="2:11" s="113" customFormat="1" ht="18.75" customHeight="1" x14ac:dyDescent="0.25">
      <c r="B19" s="1742"/>
      <c r="C19" s="39" t="s">
        <v>22</v>
      </c>
      <c r="D19" s="1714" t="s">
        <v>229</v>
      </c>
      <c r="E19" s="1715"/>
      <c r="F19" s="760" t="s">
        <v>230</v>
      </c>
      <c r="G19" s="647">
        <v>1700000000</v>
      </c>
      <c r="H19" s="647">
        <v>0</v>
      </c>
      <c r="I19" s="647">
        <f t="shared" si="1"/>
        <v>-1700000000</v>
      </c>
      <c r="J19" s="1112" t="s">
        <v>527</v>
      </c>
      <c r="K19" s="1756"/>
    </row>
    <row r="20" spans="2:11" s="62" customFormat="1" ht="18" customHeight="1" x14ac:dyDescent="0.25">
      <c r="B20" s="1742"/>
      <c r="C20" s="771" t="s">
        <v>210</v>
      </c>
      <c r="D20" s="1716" t="s">
        <v>220</v>
      </c>
      <c r="E20" s="1717"/>
      <c r="F20" s="763" t="s">
        <v>221</v>
      </c>
      <c r="G20" s="643">
        <v>1500000000</v>
      </c>
      <c r="H20" s="643">
        <v>0</v>
      </c>
      <c r="I20" s="643">
        <f t="shared" si="1"/>
        <v>-1500000000</v>
      </c>
      <c r="J20" s="1112" t="s">
        <v>527</v>
      </c>
      <c r="K20" s="1756"/>
    </row>
    <row r="21" spans="2:11" s="29" customFormat="1" ht="18" customHeight="1" x14ac:dyDescent="0.25">
      <c r="B21" s="1742"/>
      <c r="C21" s="771" t="s">
        <v>439</v>
      </c>
      <c r="D21" s="1563" t="s">
        <v>254</v>
      </c>
      <c r="E21" s="1564"/>
      <c r="F21" s="74" t="s">
        <v>464</v>
      </c>
      <c r="G21" s="659">
        <v>10935000000</v>
      </c>
      <c r="H21" s="659">
        <v>26783487571</v>
      </c>
      <c r="I21" s="659">
        <f t="shared" si="1"/>
        <v>15848487571</v>
      </c>
      <c r="J21" s="117" t="s">
        <v>528</v>
      </c>
      <c r="K21" s="1756"/>
    </row>
    <row r="22" spans="2:11" s="29" customFormat="1" ht="17.25" customHeight="1" x14ac:dyDescent="0.25">
      <c r="B22" s="1742"/>
      <c r="C22" s="771" t="s">
        <v>440</v>
      </c>
      <c r="D22" s="1563" t="s">
        <v>265</v>
      </c>
      <c r="E22" s="1564"/>
      <c r="F22" s="74" t="s">
        <v>464</v>
      </c>
      <c r="G22" s="659">
        <v>1000000000</v>
      </c>
      <c r="H22" s="659">
        <v>500000000</v>
      </c>
      <c r="I22" s="659">
        <f t="shared" si="1"/>
        <v>-500000000</v>
      </c>
      <c r="J22" s="1112" t="s">
        <v>527</v>
      </c>
      <c r="K22" s="1756"/>
    </row>
    <row r="23" spans="2:11" s="62" customFormat="1" ht="18" customHeight="1" x14ac:dyDescent="0.25">
      <c r="B23" s="1742"/>
      <c r="C23" s="771" t="s">
        <v>441</v>
      </c>
      <c r="D23" s="1618" t="s">
        <v>270</v>
      </c>
      <c r="E23" s="1620"/>
      <c r="F23" s="855" t="s">
        <v>271</v>
      </c>
      <c r="G23" s="660">
        <v>1045000000</v>
      </c>
      <c r="H23" s="660">
        <v>1545000000</v>
      </c>
      <c r="I23" s="660">
        <f t="shared" si="1"/>
        <v>500000000</v>
      </c>
      <c r="J23" s="1113" t="s">
        <v>527</v>
      </c>
      <c r="K23" s="1756"/>
    </row>
    <row r="24" spans="2:11" s="29" customFormat="1" ht="20.25" customHeight="1" x14ac:dyDescent="0.25">
      <c r="B24" s="1742"/>
      <c r="C24" s="39" t="s">
        <v>442</v>
      </c>
      <c r="D24" s="1563" t="s">
        <v>308</v>
      </c>
      <c r="E24" s="1564"/>
      <c r="F24" s="767" t="s">
        <v>309</v>
      </c>
      <c r="G24" s="617">
        <v>2126082971</v>
      </c>
      <c r="H24" s="617">
        <v>600000000</v>
      </c>
      <c r="I24" s="617">
        <f t="shared" si="1"/>
        <v>-1526082971</v>
      </c>
      <c r="J24" s="1114" t="s">
        <v>527</v>
      </c>
      <c r="K24" s="1756"/>
    </row>
    <row r="25" spans="2:11" s="343" customFormat="1" ht="19.5" customHeight="1" x14ac:dyDescent="0.25">
      <c r="B25" s="1742"/>
      <c r="C25" s="771" t="s">
        <v>443</v>
      </c>
      <c r="D25" s="1712" t="s">
        <v>317</v>
      </c>
      <c r="E25" s="1713"/>
      <c r="F25" s="772" t="s">
        <v>318</v>
      </c>
      <c r="G25" s="774">
        <v>100000000</v>
      </c>
      <c r="H25" s="774">
        <v>300000000</v>
      </c>
      <c r="I25" s="774">
        <f t="shared" si="1"/>
        <v>200000000</v>
      </c>
      <c r="J25" s="1115" t="s">
        <v>527</v>
      </c>
      <c r="K25" s="1756"/>
    </row>
    <row r="26" spans="2:11" s="29" customFormat="1" ht="19.5" customHeight="1" x14ac:dyDescent="0.25">
      <c r="B26" s="1742"/>
      <c r="C26" s="771" t="s">
        <v>444</v>
      </c>
      <c r="D26" s="1582" t="s">
        <v>320</v>
      </c>
      <c r="E26" s="1583"/>
      <c r="F26" s="772" t="s">
        <v>321</v>
      </c>
      <c r="G26" s="774">
        <v>200000000</v>
      </c>
      <c r="H26" s="774">
        <v>600000000</v>
      </c>
      <c r="I26" s="774">
        <f t="shared" si="1"/>
        <v>400000000</v>
      </c>
      <c r="J26" s="1116" t="s">
        <v>527</v>
      </c>
      <c r="K26" s="1756"/>
    </row>
    <row r="27" spans="2:11" s="29" customFormat="1" ht="26.25" customHeight="1" x14ac:dyDescent="0.25">
      <c r="B27" s="1742"/>
      <c r="C27" s="771" t="s">
        <v>445</v>
      </c>
      <c r="D27" s="1712" t="s">
        <v>322</v>
      </c>
      <c r="E27" s="1713"/>
      <c r="F27" s="772" t="s">
        <v>323</v>
      </c>
      <c r="G27" s="774">
        <v>100000000</v>
      </c>
      <c r="H27" s="774">
        <v>250000000</v>
      </c>
      <c r="I27" s="774">
        <f t="shared" si="1"/>
        <v>150000000</v>
      </c>
      <c r="J27" s="1117" t="s">
        <v>527</v>
      </c>
      <c r="K27" s="1756"/>
    </row>
    <row r="28" spans="2:11" s="62" customFormat="1" ht="20.25" customHeight="1" x14ac:dyDescent="0.25">
      <c r="B28" s="1742"/>
      <c r="C28" s="771" t="s">
        <v>446</v>
      </c>
      <c r="D28" s="1582" t="s">
        <v>335</v>
      </c>
      <c r="E28" s="1583"/>
      <c r="F28" s="856" t="s">
        <v>336</v>
      </c>
      <c r="G28" s="629">
        <v>2000000000</v>
      </c>
      <c r="H28" s="629">
        <v>2776082971</v>
      </c>
      <c r="I28" s="629">
        <f t="shared" si="1"/>
        <v>776082971</v>
      </c>
      <c r="J28" s="1117" t="s">
        <v>527</v>
      </c>
      <c r="K28" s="1756"/>
    </row>
    <row r="29" spans="2:11" s="29" customFormat="1" ht="26.25" hidden="1" customHeight="1" x14ac:dyDescent="0.25">
      <c r="B29" s="1742"/>
      <c r="C29" s="39" t="s">
        <v>447</v>
      </c>
      <c r="D29" s="1582"/>
      <c r="E29" s="1583"/>
      <c r="F29" s="856"/>
      <c r="G29" s="629"/>
      <c r="H29" s="629"/>
      <c r="I29" s="629"/>
      <c r="J29" s="1118"/>
      <c r="K29" s="1756"/>
    </row>
    <row r="30" spans="2:11" ht="2.25" customHeight="1" thickBot="1" x14ac:dyDescent="0.3">
      <c r="B30" s="1742"/>
      <c r="C30" s="420"/>
      <c r="D30" s="422"/>
      <c r="E30" s="423"/>
      <c r="F30" s="424"/>
      <c r="G30" s="672"/>
      <c r="H30" s="672"/>
      <c r="I30" s="672"/>
      <c r="J30" s="426"/>
      <c r="K30" s="1756"/>
    </row>
    <row r="31" spans="2:11" ht="3" customHeight="1" thickTop="1" x14ac:dyDescent="0.25">
      <c r="B31" s="1742"/>
      <c r="K31" s="1756"/>
    </row>
  </sheetData>
  <mergeCells count="33">
    <mergeCell ref="D28:E28"/>
    <mergeCell ref="D25:E25"/>
    <mergeCell ref="D23:E23"/>
    <mergeCell ref="D24:E24"/>
    <mergeCell ref="C2:I2"/>
    <mergeCell ref="C3:K3"/>
    <mergeCell ref="C4:K4"/>
    <mergeCell ref="D6:E6"/>
    <mergeCell ref="C8:C9"/>
    <mergeCell ref="D8:E9"/>
    <mergeCell ref="F8:F9"/>
    <mergeCell ref="G8:G9"/>
    <mergeCell ref="J8:J9"/>
    <mergeCell ref="K7:K31"/>
    <mergeCell ref="D21:E21"/>
    <mergeCell ref="D22:E22"/>
    <mergeCell ref="D20:E20"/>
    <mergeCell ref="D11:E11"/>
    <mergeCell ref="D13:E13"/>
    <mergeCell ref="I8:I9"/>
    <mergeCell ref="B7:B31"/>
    <mergeCell ref="C10:E10"/>
    <mergeCell ref="H8:H9"/>
    <mergeCell ref="D12:E12"/>
    <mergeCell ref="D14:E14"/>
    <mergeCell ref="D18:E18"/>
    <mergeCell ref="D15:E15"/>
    <mergeCell ref="D16:E16"/>
    <mergeCell ref="D17:E17"/>
    <mergeCell ref="D29:E29"/>
    <mergeCell ref="D26:E26"/>
    <mergeCell ref="D27:E27"/>
    <mergeCell ref="D19:E19"/>
  </mergeCells>
  <printOptions horizontalCentered="1"/>
  <pageMargins left="0.43307086614173229" right="0.43307086614173229" top="0.59055118110236227" bottom="0.39370078740157483" header="0" footer="0"/>
  <pageSetup paperSize="9" scale="83" orientation="landscape" useFirstPageNumber="1" r:id="rId1"/>
  <headerFooter>
    <oddFooter>&amp;L&amp;"Cambria,Italic"&amp;7&amp;K05-049&amp;F / &amp;A&amp;C&amp;"Cambria,Italic"&amp;7&amp;K04-021Hal &amp;P dari &amp;N&amp;R&amp;"-,Italic"&amp;7&amp;K09-022&amp;D /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2:V273"/>
  <sheetViews>
    <sheetView tabSelected="1" view="pageBreakPreview" topLeftCell="A118" zoomScale="80" zoomScaleNormal="85" zoomScaleSheetLayoutView="80" workbookViewId="0">
      <selection activeCell="J146" sqref="J146:M154"/>
    </sheetView>
  </sheetViews>
  <sheetFormatPr defaultRowHeight="12.75" x14ac:dyDescent="0.25"/>
  <cols>
    <col min="1" max="1" width="9" style="53" customWidth="1"/>
    <col min="2" max="2" width="0.5703125" style="13" customWidth="1"/>
    <col min="3" max="3" width="3.28515625" style="427" customWidth="1"/>
    <col min="4" max="4" width="4.140625" style="428" customWidth="1"/>
    <col min="5" max="5" width="3.5703125" style="428" customWidth="1"/>
    <col min="6" max="6" width="2.7109375" style="428" customWidth="1"/>
    <col min="7" max="7" width="56.7109375" style="429" customWidth="1"/>
    <col min="8" max="8" width="52" style="430" customWidth="1"/>
    <col min="9" max="9" width="9.85546875" style="431" customWidth="1"/>
    <col min="10" max="10" width="16.85546875" style="432" customWidth="1"/>
    <col min="11" max="12" width="16.85546875" style="432" hidden="1" customWidth="1"/>
    <col min="13" max="13" width="17.42578125" style="432" customWidth="1"/>
    <col min="14" max="14" width="20.140625" style="432" hidden="1" customWidth="1"/>
    <col min="15" max="15" width="22.140625" style="432" hidden="1" customWidth="1"/>
    <col min="16" max="16" width="0.5703125" style="291" customWidth="1"/>
    <col min="17" max="17" width="17.5703125" style="431" customWidth="1"/>
    <col min="18" max="18" width="4.85546875" style="500" customWidth="1"/>
    <col min="19" max="19" width="14.140625" style="53" customWidth="1"/>
    <col min="20" max="20" width="19.85546875" style="924" customWidth="1"/>
    <col min="21" max="21" width="21.28515625" style="924" customWidth="1"/>
    <col min="22" max="22" width="15.28515625" style="924" customWidth="1"/>
    <col min="23" max="30" width="10.5703125" style="53" customWidth="1"/>
    <col min="31" max="236" width="9.140625" style="53"/>
    <col min="237" max="237" width="1.7109375" style="53" customWidth="1"/>
    <col min="238" max="239" width="4.7109375" style="53" customWidth="1"/>
    <col min="240" max="240" width="54.140625" style="53" customWidth="1"/>
    <col min="241" max="241" width="52" style="53" customWidth="1"/>
    <col min="242" max="242" width="5.28515625" style="53" customWidth="1"/>
    <col min="243" max="243" width="5.85546875" style="53" bestFit="1" customWidth="1"/>
    <col min="244" max="244" width="16.42578125" style="53" customWidth="1"/>
    <col min="245" max="245" width="4.5703125" style="53" customWidth="1"/>
    <col min="246" max="246" width="14.140625" style="53" customWidth="1"/>
    <col min="247" max="247" width="27.140625" style="53" customWidth="1"/>
    <col min="248" max="248" width="16.28515625" style="53" customWidth="1"/>
    <col min="249" max="249" width="13.85546875" style="53" customWidth="1"/>
    <col min="250" max="492" width="9.140625" style="53"/>
    <col min="493" max="493" width="1.7109375" style="53" customWidth="1"/>
    <col min="494" max="495" width="4.7109375" style="53" customWidth="1"/>
    <col min="496" max="496" width="54.140625" style="53" customWidth="1"/>
    <col min="497" max="497" width="52" style="53" customWidth="1"/>
    <col min="498" max="498" width="5.28515625" style="53" customWidth="1"/>
    <col min="499" max="499" width="5.85546875" style="53" bestFit="1" customWidth="1"/>
    <col min="500" max="500" width="16.42578125" style="53" customWidth="1"/>
    <col min="501" max="501" width="4.5703125" style="53" customWidth="1"/>
    <col min="502" max="502" width="14.140625" style="53" customWidth="1"/>
    <col min="503" max="503" width="27.140625" style="53" customWidth="1"/>
    <col min="504" max="504" width="16.28515625" style="53" customWidth="1"/>
    <col min="505" max="505" width="13.85546875" style="53" customWidth="1"/>
    <col min="506" max="748" width="9.140625" style="53"/>
    <col min="749" max="749" width="1.7109375" style="53" customWidth="1"/>
    <col min="750" max="751" width="4.7109375" style="53" customWidth="1"/>
    <col min="752" max="752" width="54.140625" style="53" customWidth="1"/>
    <col min="753" max="753" width="52" style="53" customWidth="1"/>
    <col min="754" max="754" width="5.28515625" style="53" customWidth="1"/>
    <col min="755" max="755" width="5.85546875" style="53" bestFit="1" customWidth="1"/>
    <col min="756" max="756" width="16.42578125" style="53" customWidth="1"/>
    <col min="757" max="757" width="4.5703125" style="53" customWidth="1"/>
    <col min="758" max="758" width="14.140625" style="53" customWidth="1"/>
    <col min="759" max="759" width="27.140625" style="53" customWidth="1"/>
    <col min="760" max="760" width="16.28515625" style="53" customWidth="1"/>
    <col min="761" max="761" width="13.85546875" style="53" customWidth="1"/>
    <col min="762" max="1004" width="9.140625" style="53"/>
    <col min="1005" max="1005" width="1.7109375" style="53" customWidth="1"/>
    <col min="1006" max="1007" width="4.7109375" style="53" customWidth="1"/>
    <col min="1008" max="1008" width="54.140625" style="53" customWidth="1"/>
    <col min="1009" max="1009" width="52" style="53" customWidth="1"/>
    <col min="1010" max="1010" width="5.28515625" style="53" customWidth="1"/>
    <col min="1011" max="1011" width="5.85546875" style="53" bestFit="1" customWidth="1"/>
    <col min="1012" max="1012" width="16.42578125" style="53" customWidth="1"/>
    <col min="1013" max="1013" width="4.5703125" style="53" customWidth="1"/>
    <col min="1014" max="1014" width="14.140625" style="53" customWidth="1"/>
    <col min="1015" max="1015" width="27.140625" style="53" customWidth="1"/>
    <col min="1016" max="1016" width="16.28515625" style="53" customWidth="1"/>
    <col min="1017" max="1017" width="13.85546875" style="53" customWidth="1"/>
    <col min="1018" max="1260" width="9.140625" style="53"/>
    <col min="1261" max="1261" width="1.7109375" style="53" customWidth="1"/>
    <col min="1262" max="1263" width="4.7109375" style="53" customWidth="1"/>
    <col min="1264" max="1264" width="54.140625" style="53" customWidth="1"/>
    <col min="1265" max="1265" width="52" style="53" customWidth="1"/>
    <col min="1266" max="1266" width="5.28515625" style="53" customWidth="1"/>
    <col min="1267" max="1267" width="5.85546875" style="53" bestFit="1" customWidth="1"/>
    <col min="1268" max="1268" width="16.42578125" style="53" customWidth="1"/>
    <col min="1269" max="1269" width="4.5703125" style="53" customWidth="1"/>
    <col min="1270" max="1270" width="14.140625" style="53" customWidth="1"/>
    <col min="1271" max="1271" width="27.140625" style="53" customWidth="1"/>
    <col min="1272" max="1272" width="16.28515625" style="53" customWidth="1"/>
    <col min="1273" max="1273" width="13.85546875" style="53" customWidth="1"/>
    <col min="1274" max="1516" width="9.140625" style="53"/>
    <col min="1517" max="1517" width="1.7109375" style="53" customWidth="1"/>
    <col min="1518" max="1519" width="4.7109375" style="53" customWidth="1"/>
    <col min="1520" max="1520" width="54.140625" style="53" customWidth="1"/>
    <col min="1521" max="1521" width="52" style="53" customWidth="1"/>
    <col min="1522" max="1522" width="5.28515625" style="53" customWidth="1"/>
    <col min="1523" max="1523" width="5.85546875" style="53" bestFit="1" customWidth="1"/>
    <col min="1524" max="1524" width="16.42578125" style="53" customWidth="1"/>
    <col min="1525" max="1525" width="4.5703125" style="53" customWidth="1"/>
    <col min="1526" max="1526" width="14.140625" style="53" customWidth="1"/>
    <col min="1527" max="1527" width="27.140625" style="53" customWidth="1"/>
    <col min="1528" max="1528" width="16.28515625" style="53" customWidth="1"/>
    <col min="1529" max="1529" width="13.85546875" style="53" customWidth="1"/>
    <col min="1530" max="1772" width="9.140625" style="53"/>
    <col min="1773" max="1773" width="1.7109375" style="53" customWidth="1"/>
    <col min="1774" max="1775" width="4.7109375" style="53" customWidth="1"/>
    <col min="1776" max="1776" width="54.140625" style="53" customWidth="1"/>
    <col min="1777" max="1777" width="52" style="53" customWidth="1"/>
    <col min="1778" max="1778" width="5.28515625" style="53" customWidth="1"/>
    <col min="1779" max="1779" width="5.85546875" style="53" bestFit="1" customWidth="1"/>
    <col min="1780" max="1780" width="16.42578125" style="53" customWidth="1"/>
    <col min="1781" max="1781" width="4.5703125" style="53" customWidth="1"/>
    <col min="1782" max="1782" width="14.140625" style="53" customWidth="1"/>
    <col min="1783" max="1783" width="27.140625" style="53" customWidth="1"/>
    <col min="1784" max="1784" width="16.28515625" style="53" customWidth="1"/>
    <col min="1785" max="1785" width="13.85546875" style="53" customWidth="1"/>
    <col min="1786" max="2028" width="9.140625" style="53"/>
    <col min="2029" max="2029" width="1.7109375" style="53" customWidth="1"/>
    <col min="2030" max="2031" width="4.7109375" style="53" customWidth="1"/>
    <col min="2032" max="2032" width="54.140625" style="53" customWidth="1"/>
    <col min="2033" max="2033" width="52" style="53" customWidth="1"/>
    <col min="2034" max="2034" width="5.28515625" style="53" customWidth="1"/>
    <col min="2035" max="2035" width="5.85546875" style="53" bestFit="1" customWidth="1"/>
    <col min="2036" max="2036" width="16.42578125" style="53" customWidth="1"/>
    <col min="2037" max="2037" width="4.5703125" style="53" customWidth="1"/>
    <col min="2038" max="2038" width="14.140625" style="53" customWidth="1"/>
    <col min="2039" max="2039" width="27.140625" style="53" customWidth="1"/>
    <col min="2040" max="2040" width="16.28515625" style="53" customWidth="1"/>
    <col min="2041" max="2041" width="13.85546875" style="53" customWidth="1"/>
    <col min="2042" max="2284" width="9.140625" style="53"/>
    <col min="2285" max="2285" width="1.7109375" style="53" customWidth="1"/>
    <col min="2286" max="2287" width="4.7109375" style="53" customWidth="1"/>
    <col min="2288" max="2288" width="54.140625" style="53" customWidth="1"/>
    <col min="2289" max="2289" width="52" style="53" customWidth="1"/>
    <col min="2290" max="2290" width="5.28515625" style="53" customWidth="1"/>
    <col min="2291" max="2291" width="5.85546875" style="53" bestFit="1" customWidth="1"/>
    <col min="2292" max="2292" width="16.42578125" style="53" customWidth="1"/>
    <col min="2293" max="2293" width="4.5703125" style="53" customWidth="1"/>
    <col min="2294" max="2294" width="14.140625" style="53" customWidth="1"/>
    <col min="2295" max="2295" width="27.140625" style="53" customWidth="1"/>
    <col min="2296" max="2296" width="16.28515625" style="53" customWidth="1"/>
    <col min="2297" max="2297" width="13.85546875" style="53" customWidth="1"/>
    <col min="2298" max="2540" width="9.140625" style="53"/>
    <col min="2541" max="2541" width="1.7109375" style="53" customWidth="1"/>
    <col min="2542" max="2543" width="4.7109375" style="53" customWidth="1"/>
    <col min="2544" max="2544" width="54.140625" style="53" customWidth="1"/>
    <col min="2545" max="2545" width="52" style="53" customWidth="1"/>
    <col min="2546" max="2546" width="5.28515625" style="53" customWidth="1"/>
    <col min="2547" max="2547" width="5.85546875" style="53" bestFit="1" customWidth="1"/>
    <col min="2548" max="2548" width="16.42578125" style="53" customWidth="1"/>
    <col min="2549" max="2549" width="4.5703125" style="53" customWidth="1"/>
    <col min="2550" max="2550" width="14.140625" style="53" customWidth="1"/>
    <col min="2551" max="2551" width="27.140625" style="53" customWidth="1"/>
    <col min="2552" max="2552" width="16.28515625" style="53" customWidth="1"/>
    <col min="2553" max="2553" width="13.85546875" style="53" customWidth="1"/>
    <col min="2554" max="2796" width="9.140625" style="53"/>
    <col min="2797" max="2797" width="1.7109375" style="53" customWidth="1"/>
    <col min="2798" max="2799" width="4.7109375" style="53" customWidth="1"/>
    <col min="2800" max="2800" width="54.140625" style="53" customWidth="1"/>
    <col min="2801" max="2801" width="52" style="53" customWidth="1"/>
    <col min="2802" max="2802" width="5.28515625" style="53" customWidth="1"/>
    <col min="2803" max="2803" width="5.85546875" style="53" bestFit="1" customWidth="1"/>
    <col min="2804" max="2804" width="16.42578125" style="53" customWidth="1"/>
    <col min="2805" max="2805" width="4.5703125" style="53" customWidth="1"/>
    <col min="2806" max="2806" width="14.140625" style="53" customWidth="1"/>
    <col min="2807" max="2807" width="27.140625" style="53" customWidth="1"/>
    <col min="2808" max="2808" width="16.28515625" style="53" customWidth="1"/>
    <col min="2809" max="2809" width="13.85546875" style="53" customWidth="1"/>
    <col min="2810" max="3052" width="9.140625" style="53"/>
    <col min="3053" max="3053" width="1.7109375" style="53" customWidth="1"/>
    <col min="3054" max="3055" width="4.7109375" style="53" customWidth="1"/>
    <col min="3056" max="3056" width="54.140625" style="53" customWidth="1"/>
    <col min="3057" max="3057" width="52" style="53" customWidth="1"/>
    <col min="3058" max="3058" width="5.28515625" style="53" customWidth="1"/>
    <col min="3059" max="3059" width="5.85546875" style="53" bestFit="1" customWidth="1"/>
    <col min="3060" max="3060" width="16.42578125" style="53" customWidth="1"/>
    <col min="3061" max="3061" width="4.5703125" style="53" customWidth="1"/>
    <col min="3062" max="3062" width="14.140625" style="53" customWidth="1"/>
    <col min="3063" max="3063" width="27.140625" style="53" customWidth="1"/>
    <col min="3064" max="3064" width="16.28515625" style="53" customWidth="1"/>
    <col min="3065" max="3065" width="13.85546875" style="53" customWidth="1"/>
    <col min="3066" max="3308" width="9.140625" style="53"/>
    <col min="3309" max="3309" width="1.7109375" style="53" customWidth="1"/>
    <col min="3310" max="3311" width="4.7109375" style="53" customWidth="1"/>
    <col min="3312" max="3312" width="54.140625" style="53" customWidth="1"/>
    <col min="3313" max="3313" width="52" style="53" customWidth="1"/>
    <col min="3314" max="3314" width="5.28515625" style="53" customWidth="1"/>
    <col min="3315" max="3315" width="5.85546875" style="53" bestFit="1" customWidth="1"/>
    <col min="3316" max="3316" width="16.42578125" style="53" customWidth="1"/>
    <col min="3317" max="3317" width="4.5703125" style="53" customWidth="1"/>
    <col min="3318" max="3318" width="14.140625" style="53" customWidth="1"/>
    <col min="3319" max="3319" width="27.140625" style="53" customWidth="1"/>
    <col min="3320" max="3320" width="16.28515625" style="53" customWidth="1"/>
    <col min="3321" max="3321" width="13.85546875" style="53" customWidth="1"/>
    <col min="3322" max="3564" width="9.140625" style="53"/>
    <col min="3565" max="3565" width="1.7109375" style="53" customWidth="1"/>
    <col min="3566" max="3567" width="4.7109375" style="53" customWidth="1"/>
    <col min="3568" max="3568" width="54.140625" style="53" customWidth="1"/>
    <col min="3569" max="3569" width="52" style="53" customWidth="1"/>
    <col min="3570" max="3570" width="5.28515625" style="53" customWidth="1"/>
    <col min="3571" max="3571" width="5.85546875" style="53" bestFit="1" customWidth="1"/>
    <col min="3572" max="3572" width="16.42578125" style="53" customWidth="1"/>
    <col min="3573" max="3573" width="4.5703125" style="53" customWidth="1"/>
    <col min="3574" max="3574" width="14.140625" style="53" customWidth="1"/>
    <col min="3575" max="3575" width="27.140625" style="53" customWidth="1"/>
    <col min="3576" max="3576" width="16.28515625" style="53" customWidth="1"/>
    <col min="3577" max="3577" width="13.85546875" style="53" customWidth="1"/>
    <col min="3578" max="3820" width="9.140625" style="53"/>
    <col min="3821" max="3821" width="1.7109375" style="53" customWidth="1"/>
    <col min="3822" max="3823" width="4.7109375" style="53" customWidth="1"/>
    <col min="3824" max="3824" width="54.140625" style="53" customWidth="1"/>
    <col min="3825" max="3825" width="52" style="53" customWidth="1"/>
    <col min="3826" max="3826" width="5.28515625" style="53" customWidth="1"/>
    <col min="3827" max="3827" width="5.85546875" style="53" bestFit="1" customWidth="1"/>
    <col min="3828" max="3828" width="16.42578125" style="53" customWidth="1"/>
    <col min="3829" max="3829" width="4.5703125" style="53" customWidth="1"/>
    <col min="3830" max="3830" width="14.140625" style="53" customWidth="1"/>
    <col min="3831" max="3831" width="27.140625" style="53" customWidth="1"/>
    <col min="3832" max="3832" width="16.28515625" style="53" customWidth="1"/>
    <col min="3833" max="3833" width="13.85546875" style="53" customWidth="1"/>
    <col min="3834" max="4076" width="9.140625" style="53"/>
    <col min="4077" max="4077" width="1.7109375" style="53" customWidth="1"/>
    <col min="4078" max="4079" width="4.7109375" style="53" customWidth="1"/>
    <col min="4080" max="4080" width="54.140625" style="53" customWidth="1"/>
    <col min="4081" max="4081" width="52" style="53" customWidth="1"/>
    <col min="4082" max="4082" width="5.28515625" style="53" customWidth="1"/>
    <col min="4083" max="4083" width="5.85546875" style="53" bestFit="1" customWidth="1"/>
    <col min="4084" max="4084" width="16.42578125" style="53" customWidth="1"/>
    <col min="4085" max="4085" width="4.5703125" style="53" customWidth="1"/>
    <col min="4086" max="4086" width="14.140625" style="53" customWidth="1"/>
    <col min="4087" max="4087" width="27.140625" style="53" customWidth="1"/>
    <col min="4088" max="4088" width="16.28515625" style="53" customWidth="1"/>
    <col min="4089" max="4089" width="13.85546875" style="53" customWidth="1"/>
    <col min="4090" max="4332" width="9.140625" style="53"/>
    <col min="4333" max="4333" width="1.7109375" style="53" customWidth="1"/>
    <col min="4334" max="4335" width="4.7109375" style="53" customWidth="1"/>
    <col min="4336" max="4336" width="54.140625" style="53" customWidth="1"/>
    <col min="4337" max="4337" width="52" style="53" customWidth="1"/>
    <col min="4338" max="4338" width="5.28515625" style="53" customWidth="1"/>
    <col min="4339" max="4339" width="5.85546875" style="53" bestFit="1" customWidth="1"/>
    <col min="4340" max="4340" width="16.42578125" style="53" customWidth="1"/>
    <col min="4341" max="4341" width="4.5703125" style="53" customWidth="1"/>
    <col min="4342" max="4342" width="14.140625" style="53" customWidth="1"/>
    <col min="4343" max="4343" width="27.140625" style="53" customWidth="1"/>
    <col min="4344" max="4344" width="16.28515625" style="53" customWidth="1"/>
    <col min="4345" max="4345" width="13.85546875" style="53" customWidth="1"/>
    <col min="4346" max="4588" width="9.140625" style="53"/>
    <col min="4589" max="4589" width="1.7109375" style="53" customWidth="1"/>
    <col min="4590" max="4591" width="4.7109375" style="53" customWidth="1"/>
    <col min="4592" max="4592" width="54.140625" style="53" customWidth="1"/>
    <col min="4593" max="4593" width="52" style="53" customWidth="1"/>
    <col min="4594" max="4594" width="5.28515625" style="53" customWidth="1"/>
    <col min="4595" max="4595" width="5.85546875" style="53" bestFit="1" customWidth="1"/>
    <col min="4596" max="4596" width="16.42578125" style="53" customWidth="1"/>
    <col min="4597" max="4597" width="4.5703125" style="53" customWidth="1"/>
    <col min="4598" max="4598" width="14.140625" style="53" customWidth="1"/>
    <col min="4599" max="4599" width="27.140625" style="53" customWidth="1"/>
    <col min="4600" max="4600" width="16.28515625" style="53" customWidth="1"/>
    <col min="4601" max="4601" width="13.85546875" style="53" customWidth="1"/>
    <col min="4602" max="4844" width="9.140625" style="53"/>
    <col min="4845" max="4845" width="1.7109375" style="53" customWidth="1"/>
    <col min="4846" max="4847" width="4.7109375" style="53" customWidth="1"/>
    <col min="4848" max="4848" width="54.140625" style="53" customWidth="1"/>
    <col min="4849" max="4849" width="52" style="53" customWidth="1"/>
    <col min="4850" max="4850" width="5.28515625" style="53" customWidth="1"/>
    <col min="4851" max="4851" width="5.85546875" style="53" bestFit="1" customWidth="1"/>
    <col min="4852" max="4852" width="16.42578125" style="53" customWidth="1"/>
    <col min="4853" max="4853" width="4.5703125" style="53" customWidth="1"/>
    <col min="4854" max="4854" width="14.140625" style="53" customWidth="1"/>
    <col min="4855" max="4855" width="27.140625" style="53" customWidth="1"/>
    <col min="4856" max="4856" width="16.28515625" style="53" customWidth="1"/>
    <col min="4857" max="4857" width="13.85546875" style="53" customWidth="1"/>
    <col min="4858" max="5100" width="9.140625" style="53"/>
    <col min="5101" max="5101" width="1.7109375" style="53" customWidth="1"/>
    <col min="5102" max="5103" width="4.7109375" style="53" customWidth="1"/>
    <col min="5104" max="5104" width="54.140625" style="53" customWidth="1"/>
    <col min="5105" max="5105" width="52" style="53" customWidth="1"/>
    <col min="5106" max="5106" width="5.28515625" style="53" customWidth="1"/>
    <col min="5107" max="5107" width="5.85546875" style="53" bestFit="1" customWidth="1"/>
    <col min="5108" max="5108" width="16.42578125" style="53" customWidth="1"/>
    <col min="5109" max="5109" width="4.5703125" style="53" customWidth="1"/>
    <col min="5110" max="5110" width="14.140625" style="53" customWidth="1"/>
    <col min="5111" max="5111" width="27.140625" style="53" customWidth="1"/>
    <col min="5112" max="5112" width="16.28515625" style="53" customWidth="1"/>
    <col min="5113" max="5113" width="13.85546875" style="53" customWidth="1"/>
    <col min="5114" max="5356" width="9.140625" style="53"/>
    <col min="5357" max="5357" width="1.7109375" style="53" customWidth="1"/>
    <col min="5358" max="5359" width="4.7109375" style="53" customWidth="1"/>
    <col min="5360" max="5360" width="54.140625" style="53" customWidth="1"/>
    <col min="5361" max="5361" width="52" style="53" customWidth="1"/>
    <col min="5362" max="5362" width="5.28515625" style="53" customWidth="1"/>
    <col min="5363" max="5363" width="5.85546875" style="53" bestFit="1" customWidth="1"/>
    <col min="5364" max="5364" width="16.42578125" style="53" customWidth="1"/>
    <col min="5365" max="5365" width="4.5703125" style="53" customWidth="1"/>
    <col min="5366" max="5366" width="14.140625" style="53" customWidth="1"/>
    <col min="5367" max="5367" width="27.140625" style="53" customWidth="1"/>
    <col min="5368" max="5368" width="16.28515625" style="53" customWidth="1"/>
    <col min="5369" max="5369" width="13.85546875" style="53" customWidth="1"/>
    <col min="5370" max="5612" width="9.140625" style="53"/>
    <col min="5613" max="5613" width="1.7109375" style="53" customWidth="1"/>
    <col min="5614" max="5615" width="4.7109375" style="53" customWidth="1"/>
    <col min="5616" max="5616" width="54.140625" style="53" customWidth="1"/>
    <col min="5617" max="5617" width="52" style="53" customWidth="1"/>
    <col min="5618" max="5618" width="5.28515625" style="53" customWidth="1"/>
    <col min="5619" max="5619" width="5.85546875" style="53" bestFit="1" customWidth="1"/>
    <col min="5620" max="5620" width="16.42578125" style="53" customWidth="1"/>
    <col min="5621" max="5621" width="4.5703125" style="53" customWidth="1"/>
    <col min="5622" max="5622" width="14.140625" style="53" customWidth="1"/>
    <col min="5623" max="5623" width="27.140625" style="53" customWidth="1"/>
    <col min="5624" max="5624" width="16.28515625" style="53" customWidth="1"/>
    <col min="5625" max="5625" width="13.85546875" style="53" customWidth="1"/>
    <col min="5626" max="5868" width="9.140625" style="53"/>
    <col min="5869" max="5869" width="1.7109375" style="53" customWidth="1"/>
    <col min="5870" max="5871" width="4.7109375" style="53" customWidth="1"/>
    <col min="5872" max="5872" width="54.140625" style="53" customWidth="1"/>
    <col min="5873" max="5873" width="52" style="53" customWidth="1"/>
    <col min="5874" max="5874" width="5.28515625" style="53" customWidth="1"/>
    <col min="5875" max="5875" width="5.85546875" style="53" bestFit="1" customWidth="1"/>
    <col min="5876" max="5876" width="16.42578125" style="53" customWidth="1"/>
    <col min="5877" max="5877" width="4.5703125" style="53" customWidth="1"/>
    <col min="5878" max="5878" width="14.140625" style="53" customWidth="1"/>
    <col min="5879" max="5879" width="27.140625" style="53" customWidth="1"/>
    <col min="5880" max="5880" width="16.28515625" style="53" customWidth="1"/>
    <col min="5881" max="5881" width="13.85546875" style="53" customWidth="1"/>
    <col min="5882" max="6124" width="9.140625" style="53"/>
    <col min="6125" max="6125" width="1.7109375" style="53" customWidth="1"/>
    <col min="6126" max="6127" width="4.7109375" style="53" customWidth="1"/>
    <col min="6128" max="6128" width="54.140625" style="53" customWidth="1"/>
    <col min="6129" max="6129" width="52" style="53" customWidth="1"/>
    <col min="6130" max="6130" width="5.28515625" style="53" customWidth="1"/>
    <col min="6131" max="6131" width="5.85546875" style="53" bestFit="1" customWidth="1"/>
    <col min="6132" max="6132" width="16.42578125" style="53" customWidth="1"/>
    <col min="6133" max="6133" width="4.5703125" style="53" customWidth="1"/>
    <col min="6134" max="6134" width="14.140625" style="53" customWidth="1"/>
    <col min="6135" max="6135" width="27.140625" style="53" customWidth="1"/>
    <col min="6136" max="6136" width="16.28515625" style="53" customWidth="1"/>
    <col min="6137" max="6137" width="13.85546875" style="53" customWidth="1"/>
    <col min="6138" max="6380" width="9.140625" style="53"/>
    <col min="6381" max="6381" width="1.7109375" style="53" customWidth="1"/>
    <col min="6382" max="6383" width="4.7109375" style="53" customWidth="1"/>
    <col min="6384" max="6384" width="54.140625" style="53" customWidth="1"/>
    <col min="6385" max="6385" width="52" style="53" customWidth="1"/>
    <col min="6386" max="6386" width="5.28515625" style="53" customWidth="1"/>
    <col min="6387" max="6387" width="5.85546875" style="53" bestFit="1" customWidth="1"/>
    <col min="6388" max="6388" width="16.42578125" style="53" customWidth="1"/>
    <col min="6389" max="6389" width="4.5703125" style="53" customWidth="1"/>
    <col min="6390" max="6390" width="14.140625" style="53" customWidth="1"/>
    <col min="6391" max="6391" width="27.140625" style="53" customWidth="1"/>
    <col min="6392" max="6392" width="16.28515625" style="53" customWidth="1"/>
    <col min="6393" max="6393" width="13.85546875" style="53" customWidth="1"/>
    <col min="6394" max="6636" width="9.140625" style="53"/>
    <col min="6637" max="6637" width="1.7109375" style="53" customWidth="1"/>
    <col min="6638" max="6639" width="4.7109375" style="53" customWidth="1"/>
    <col min="6640" max="6640" width="54.140625" style="53" customWidth="1"/>
    <col min="6641" max="6641" width="52" style="53" customWidth="1"/>
    <col min="6642" max="6642" width="5.28515625" style="53" customWidth="1"/>
    <col min="6643" max="6643" width="5.85546875" style="53" bestFit="1" customWidth="1"/>
    <col min="6644" max="6644" width="16.42578125" style="53" customWidth="1"/>
    <col min="6645" max="6645" width="4.5703125" style="53" customWidth="1"/>
    <col min="6646" max="6646" width="14.140625" style="53" customWidth="1"/>
    <col min="6647" max="6647" width="27.140625" style="53" customWidth="1"/>
    <col min="6648" max="6648" width="16.28515625" style="53" customWidth="1"/>
    <col min="6649" max="6649" width="13.85546875" style="53" customWidth="1"/>
    <col min="6650" max="6892" width="9.140625" style="53"/>
    <col min="6893" max="6893" width="1.7109375" style="53" customWidth="1"/>
    <col min="6894" max="6895" width="4.7109375" style="53" customWidth="1"/>
    <col min="6896" max="6896" width="54.140625" style="53" customWidth="1"/>
    <col min="6897" max="6897" width="52" style="53" customWidth="1"/>
    <col min="6898" max="6898" width="5.28515625" style="53" customWidth="1"/>
    <col min="6899" max="6899" width="5.85546875" style="53" bestFit="1" customWidth="1"/>
    <col min="6900" max="6900" width="16.42578125" style="53" customWidth="1"/>
    <col min="6901" max="6901" width="4.5703125" style="53" customWidth="1"/>
    <col min="6902" max="6902" width="14.140625" style="53" customWidth="1"/>
    <col min="6903" max="6903" width="27.140625" style="53" customWidth="1"/>
    <col min="6904" max="6904" width="16.28515625" style="53" customWidth="1"/>
    <col min="6905" max="6905" width="13.85546875" style="53" customWidth="1"/>
    <col min="6906" max="7148" width="9.140625" style="53"/>
    <col min="7149" max="7149" width="1.7109375" style="53" customWidth="1"/>
    <col min="7150" max="7151" width="4.7109375" style="53" customWidth="1"/>
    <col min="7152" max="7152" width="54.140625" style="53" customWidth="1"/>
    <col min="7153" max="7153" width="52" style="53" customWidth="1"/>
    <col min="7154" max="7154" width="5.28515625" style="53" customWidth="1"/>
    <col min="7155" max="7155" width="5.85546875" style="53" bestFit="1" customWidth="1"/>
    <col min="7156" max="7156" width="16.42578125" style="53" customWidth="1"/>
    <col min="7157" max="7157" width="4.5703125" style="53" customWidth="1"/>
    <col min="7158" max="7158" width="14.140625" style="53" customWidth="1"/>
    <col min="7159" max="7159" width="27.140625" style="53" customWidth="1"/>
    <col min="7160" max="7160" width="16.28515625" style="53" customWidth="1"/>
    <col min="7161" max="7161" width="13.85546875" style="53" customWidth="1"/>
    <col min="7162" max="7404" width="9.140625" style="53"/>
    <col min="7405" max="7405" width="1.7109375" style="53" customWidth="1"/>
    <col min="7406" max="7407" width="4.7109375" style="53" customWidth="1"/>
    <col min="7408" max="7408" width="54.140625" style="53" customWidth="1"/>
    <col min="7409" max="7409" width="52" style="53" customWidth="1"/>
    <col min="7410" max="7410" width="5.28515625" style="53" customWidth="1"/>
    <col min="7411" max="7411" width="5.85546875" style="53" bestFit="1" customWidth="1"/>
    <col min="7412" max="7412" width="16.42578125" style="53" customWidth="1"/>
    <col min="7413" max="7413" width="4.5703125" style="53" customWidth="1"/>
    <col min="7414" max="7414" width="14.140625" style="53" customWidth="1"/>
    <col min="7415" max="7415" width="27.140625" style="53" customWidth="1"/>
    <col min="7416" max="7416" width="16.28515625" style="53" customWidth="1"/>
    <col min="7417" max="7417" width="13.85546875" style="53" customWidth="1"/>
    <col min="7418" max="7660" width="9.140625" style="53"/>
    <col min="7661" max="7661" width="1.7109375" style="53" customWidth="1"/>
    <col min="7662" max="7663" width="4.7109375" style="53" customWidth="1"/>
    <col min="7664" max="7664" width="54.140625" style="53" customWidth="1"/>
    <col min="7665" max="7665" width="52" style="53" customWidth="1"/>
    <col min="7666" max="7666" width="5.28515625" style="53" customWidth="1"/>
    <col min="7667" max="7667" width="5.85546875" style="53" bestFit="1" customWidth="1"/>
    <col min="7668" max="7668" width="16.42578125" style="53" customWidth="1"/>
    <col min="7669" max="7669" width="4.5703125" style="53" customWidth="1"/>
    <col min="7670" max="7670" width="14.140625" style="53" customWidth="1"/>
    <col min="7671" max="7671" width="27.140625" style="53" customWidth="1"/>
    <col min="7672" max="7672" width="16.28515625" style="53" customWidth="1"/>
    <col min="7673" max="7673" width="13.85546875" style="53" customWidth="1"/>
    <col min="7674" max="7916" width="9.140625" style="53"/>
    <col min="7917" max="7917" width="1.7109375" style="53" customWidth="1"/>
    <col min="7918" max="7919" width="4.7109375" style="53" customWidth="1"/>
    <col min="7920" max="7920" width="54.140625" style="53" customWidth="1"/>
    <col min="7921" max="7921" width="52" style="53" customWidth="1"/>
    <col min="7922" max="7922" width="5.28515625" style="53" customWidth="1"/>
    <col min="7923" max="7923" width="5.85546875" style="53" bestFit="1" customWidth="1"/>
    <col min="7924" max="7924" width="16.42578125" style="53" customWidth="1"/>
    <col min="7925" max="7925" width="4.5703125" style="53" customWidth="1"/>
    <col min="7926" max="7926" width="14.140625" style="53" customWidth="1"/>
    <col min="7927" max="7927" width="27.140625" style="53" customWidth="1"/>
    <col min="7928" max="7928" width="16.28515625" style="53" customWidth="1"/>
    <col min="7929" max="7929" width="13.85546875" style="53" customWidth="1"/>
    <col min="7930" max="8172" width="9.140625" style="53"/>
    <col min="8173" max="8173" width="1.7109375" style="53" customWidth="1"/>
    <col min="8174" max="8175" width="4.7109375" style="53" customWidth="1"/>
    <col min="8176" max="8176" width="54.140625" style="53" customWidth="1"/>
    <col min="8177" max="8177" width="52" style="53" customWidth="1"/>
    <col min="8178" max="8178" width="5.28515625" style="53" customWidth="1"/>
    <col min="8179" max="8179" width="5.85546875" style="53" bestFit="1" customWidth="1"/>
    <col min="8180" max="8180" width="16.42578125" style="53" customWidth="1"/>
    <col min="8181" max="8181" width="4.5703125" style="53" customWidth="1"/>
    <col min="8182" max="8182" width="14.140625" style="53" customWidth="1"/>
    <col min="8183" max="8183" width="27.140625" style="53" customWidth="1"/>
    <col min="8184" max="8184" width="16.28515625" style="53" customWidth="1"/>
    <col min="8185" max="8185" width="13.85546875" style="53" customWidth="1"/>
    <col min="8186" max="8428" width="9.140625" style="53"/>
    <col min="8429" max="8429" width="1.7109375" style="53" customWidth="1"/>
    <col min="8430" max="8431" width="4.7109375" style="53" customWidth="1"/>
    <col min="8432" max="8432" width="54.140625" style="53" customWidth="1"/>
    <col min="8433" max="8433" width="52" style="53" customWidth="1"/>
    <col min="8434" max="8434" width="5.28515625" style="53" customWidth="1"/>
    <col min="8435" max="8435" width="5.85546875" style="53" bestFit="1" customWidth="1"/>
    <col min="8436" max="8436" width="16.42578125" style="53" customWidth="1"/>
    <col min="8437" max="8437" width="4.5703125" style="53" customWidth="1"/>
    <col min="8438" max="8438" width="14.140625" style="53" customWidth="1"/>
    <col min="8439" max="8439" width="27.140625" style="53" customWidth="1"/>
    <col min="8440" max="8440" width="16.28515625" style="53" customWidth="1"/>
    <col min="8441" max="8441" width="13.85546875" style="53" customWidth="1"/>
    <col min="8442" max="8684" width="9.140625" style="53"/>
    <col min="8685" max="8685" width="1.7109375" style="53" customWidth="1"/>
    <col min="8686" max="8687" width="4.7109375" style="53" customWidth="1"/>
    <col min="8688" max="8688" width="54.140625" style="53" customWidth="1"/>
    <col min="8689" max="8689" width="52" style="53" customWidth="1"/>
    <col min="8690" max="8690" width="5.28515625" style="53" customWidth="1"/>
    <col min="8691" max="8691" width="5.85546875" style="53" bestFit="1" customWidth="1"/>
    <col min="8692" max="8692" width="16.42578125" style="53" customWidth="1"/>
    <col min="8693" max="8693" width="4.5703125" style="53" customWidth="1"/>
    <col min="8694" max="8694" width="14.140625" style="53" customWidth="1"/>
    <col min="8695" max="8695" width="27.140625" style="53" customWidth="1"/>
    <col min="8696" max="8696" width="16.28515625" style="53" customWidth="1"/>
    <col min="8697" max="8697" width="13.85546875" style="53" customWidth="1"/>
    <col min="8698" max="8940" width="9.140625" style="53"/>
    <col min="8941" max="8941" width="1.7109375" style="53" customWidth="1"/>
    <col min="8942" max="8943" width="4.7109375" style="53" customWidth="1"/>
    <col min="8944" max="8944" width="54.140625" style="53" customWidth="1"/>
    <col min="8945" max="8945" width="52" style="53" customWidth="1"/>
    <col min="8946" max="8946" width="5.28515625" style="53" customWidth="1"/>
    <col min="8947" max="8947" width="5.85546875" style="53" bestFit="1" customWidth="1"/>
    <col min="8948" max="8948" width="16.42578125" style="53" customWidth="1"/>
    <col min="8949" max="8949" width="4.5703125" style="53" customWidth="1"/>
    <col min="8950" max="8950" width="14.140625" style="53" customWidth="1"/>
    <col min="8951" max="8951" width="27.140625" style="53" customWidth="1"/>
    <col min="8952" max="8952" width="16.28515625" style="53" customWidth="1"/>
    <col min="8953" max="8953" width="13.85546875" style="53" customWidth="1"/>
    <col min="8954" max="9196" width="9.140625" style="53"/>
    <col min="9197" max="9197" width="1.7109375" style="53" customWidth="1"/>
    <col min="9198" max="9199" width="4.7109375" style="53" customWidth="1"/>
    <col min="9200" max="9200" width="54.140625" style="53" customWidth="1"/>
    <col min="9201" max="9201" width="52" style="53" customWidth="1"/>
    <col min="9202" max="9202" width="5.28515625" style="53" customWidth="1"/>
    <col min="9203" max="9203" width="5.85546875" style="53" bestFit="1" customWidth="1"/>
    <col min="9204" max="9204" width="16.42578125" style="53" customWidth="1"/>
    <col min="9205" max="9205" width="4.5703125" style="53" customWidth="1"/>
    <col min="9206" max="9206" width="14.140625" style="53" customWidth="1"/>
    <col min="9207" max="9207" width="27.140625" style="53" customWidth="1"/>
    <col min="9208" max="9208" width="16.28515625" style="53" customWidth="1"/>
    <col min="9209" max="9209" width="13.85546875" style="53" customWidth="1"/>
    <col min="9210" max="9452" width="9.140625" style="53"/>
    <col min="9453" max="9453" width="1.7109375" style="53" customWidth="1"/>
    <col min="9454" max="9455" width="4.7109375" style="53" customWidth="1"/>
    <col min="9456" max="9456" width="54.140625" style="53" customWidth="1"/>
    <col min="9457" max="9457" width="52" style="53" customWidth="1"/>
    <col min="9458" max="9458" width="5.28515625" style="53" customWidth="1"/>
    <col min="9459" max="9459" width="5.85546875" style="53" bestFit="1" customWidth="1"/>
    <col min="9460" max="9460" width="16.42578125" style="53" customWidth="1"/>
    <col min="9461" max="9461" width="4.5703125" style="53" customWidth="1"/>
    <col min="9462" max="9462" width="14.140625" style="53" customWidth="1"/>
    <col min="9463" max="9463" width="27.140625" style="53" customWidth="1"/>
    <col min="9464" max="9464" width="16.28515625" style="53" customWidth="1"/>
    <col min="9465" max="9465" width="13.85546875" style="53" customWidth="1"/>
    <col min="9466" max="9708" width="9.140625" style="53"/>
    <col min="9709" max="9709" width="1.7109375" style="53" customWidth="1"/>
    <col min="9710" max="9711" width="4.7109375" style="53" customWidth="1"/>
    <col min="9712" max="9712" width="54.140625" style="53" customWidth="1"/>
    <col min="9713" max="9713" width="52" style="53" customWidth="1"/>
    <col min="9714" max="9714" width="5.28515625" style="53" customWidth="1"/>
    <col min="9715" max="9715" width="5.85546875" style="53" bestFit="1" customWidth="1"/>
    <col min="9716" max="9716" width="16.42578125" style="53" customWidth="1"/>
    <col min="9717" max="9717" width="4.5703125" style="53" customWidth="1"/>
    <col min="9718" max="9718" width="14.140625" style="53" customWidth="1"/>
    <col min="9719" max="9719" width="27.140625" style="53" customWidth="1"/>
    <col min="9720" max="9720" width="16.28515625" style="53" customWidth="1"/>
    <col min="9721" max="9721" width="13.85546875" style="53" customWidth="1"/>
    <col min="9722" max="9964" width="9.140625" style="53"/>
    <col min="9965" max="9965" width="1.7109375" style="53" customWidth="1"/>
    <col min="9966" max="9967" width="4.7109375" style="53" customWidth="1"/>
    <col min="9968" max="9968" width="54.140625" style="53" customWidth="1"/>
    <col min="9969" max="9969" width="52" style="53" customWidth="1"/>
    <col min="9970" max="9970" width="5.28515625" style="53" customWidth="1"/>
    <col min="9971" max="9971" width="5.85546875" style="53" bestFit="1" customWidth="1"/>
    <col min="9972" max="9972" width="16.42578125" style="53" customWidth="1"/>
    <col min="9973" max="9973" width="4.5703125" style="53" customWidth="1"/>
    <col min="9974" max="9974" width="14.140625" style="53" customWidth="1"/>
    <col min="9975" max="9975" width="27.140625" style="53" customWidth="1"/>
    <col min="9976" max="9976" width="16.28515625" style="53" customWidth="1"/>
    <col min="9977" max="9977" width="13.85546875" style="53" customWidth="1"/>
    <col min="9978" max="10220" width="9.140625" style="53"/>
    <col min="10221" max="10221" width="1.7109375" style="53" customWidth="1"/>
    <col min="10222" max="10223" width="4.7109375" style="53" customWidth="1"/>
    <col min="10224" max="10224" width="54.140625" style="53" customWidth="1"/>
    <col min="10225" max="10225" width="52" style="53" customWidth="1"/>
    <col min="10226" max="10226" width="5.28515625" style="53" customWidth="1"/>
    <col min="10227" max="10227" width="5.85546875" style="53" bestFit="1" customWidth="1"/>
    <col min="10228" max="10228" width="16.42578125" style="53" customWidth="1"/>
    <col min="10229" max="10229" width="4.5703125" style="53" customWidth="1"/>
    <col min="10230" max="10230" width="14.140625" style="53" customWidth="1"/>
    <col min="10231" max="10231" width="27.140625" style="53" customWidth="1"/>
    <col min="10232" max="10232" width="16.28515625" style="53" customWidth="1"/>
    <col min="10233" max="10233" width="13.85546875" style="53" customWidth="1"/>
    <col min="10234" max="10476" width="9.140625" style="53"/>
    <col min="10477" max="10477" width="1.7109375" style="53" customWidth="1"/>
    <col min="10478" max="10479" width="4.7109375" style="53" customWidth="1"/>
    <col min="10480" max="10480" width="54.140625" style="53" customWidth="1"/>
    <col min="10481" max="10481" width="52" style="53" customWidth="1"/>
    <col min="10482" max="10482" width="5.28515625" style="53" customWidth="1"/>
    <col min="10483" max="10483" width="5.85546875" style="53" bestFit="1" customWidth="1"/>
    <col min="10484" max="10484" width="16.42578125" style="53" customWidth="1"/>
    <col min="10485" max="10485" width="4.5703125" style="53" customWidth="1"/>
    <col min="10486" max="10486" width="14.140625" style="53" customWidth="1"/>
    <col min="10487" max="10487" width="27.140625" style="53" customWidth="1"/>
    <col min="10488" max="10488" width="16.28515625" style="53" customWidth="1"/>
    <col min="10489" max="10489" width="13.85546875" style="53" customWidth="1"/>
    <col min="10490" max="10732" width="9.140625" style="53"/>
    <col min="10733" max="10733" width="1.7109375" style="53" customWidth="1"/>
    <col min="10734" max="10735" width="4.7109375" style="53" customWidth="1"/>
    <col min="10736" max="10736" width="54.140625" style="53" customWidth="1"/>
    <col min="10737" max="10737" width="52" style="53" customWidth="1"/>
    <col min="10738" max="10738" width="5.28515625" style="53" customWidth="1"/>
    <col min="10739" max="10739" width="5.85546875" style="53" bestFit="1" customWidth="1"/>
    <col min="10740" max="10740" width="16.42578125" style="53" customWidth="1"/>
    <col min="10741" max="10741" width="4.5703125" style="53" customWidth="1"/>
    <col min="10742" max="10742" width="14.140625" style="53" customWidth="1"/>
    <col min="10743" max="10743" width="27.140625" style="53" customWidth="1"/>
    <col min="10744" max="10744" width="16.28515625" style="53" customWidth="1"/>
    <col min="10745" max="10745" width="13.85546875" style="53" customWidth="1"/>
    <col min="10746" max="10988" width="9.140625" style="53"/>
    <col min="10989" max="10989" width="1.7109375" style="53" customWidth="1"/>
    <col min="10990" max="10991" width="4.7109375" style="53" customWidth="1"/>
    <col min="10992" max="10992" width="54.140625" style="53" customWidth="1"/>
    <col min="10993" max="10993" width="52" style="53" customWidth="1"/>
    <col min="10994" max="10994" width="5.28515625" style="53" customWidth="1"/>
    <col min="10995" max="10995" width="5.85546875" style="53" bestFit="1" customWidth="1"/>
    <col min="10996" max="10996" width="16.42578125" style="53" customWidth="1"/>
    <col min="10997" max="10997" width="4.5703125" style="53" customWidth="1"/>
    <col min="10998" max="10998" width="14.140625" style="53" customWidth="1"/>
    <col min="10999" max="10999" width="27.140625" style="53" customWidth="1"/>
    <col min="11000" max="11000" width="16.28515625" style="53" customWidth="1"/>
    <col min="11001" max="11001" width="13.85546875" style="53" customWidth="1"/>
    <col min="11002" max="11244" width="9.140625" style="53"/>
    <col min="11245" max="11245" width="1.7109375" style="53" customWidth="1"/>
    <col min="11246" max="11247" width="4.7109375" style="53" customWidth="1"/>
    <col min="11248" max="11248" width="54.140625" style="53" customWidth="1"/>
    <col min="11249" max="11249" width="52" style="53" customWidth="1"/>
    <col min="11250" max="11250" width="5.28515625" style="53" customWidth="1"/>
    <col min="11251" max="11251" width="5.85546875" style="53" bestFit="1" customWidth="1"/>
    <col min="11252" max="11252" width="16.42578125" style="53" customWidth="1"/>
    <col min="11253" max="11253" width="4.5703125" style="53" customWidth="1"/>
    <col min="11254" max="11254" width="14.140625" style="53" customWidth="1"/>
    <col min="11255" max="11255" width="27.140625" style="53" customWidth="1"/>
    <col min="11256" max="11256" width="16.28515625" style="53" customWidth="1"/>
    <col min="11257" max="11257" width="13.85546875" style="53" customWidth="1"/>
    <col min="11258" max="11500" width="9.140625" style="53"/>
    <col min="11501" max="11501" width="1.7109375" style="53" customWidth="1"/>
    <col min="11502" max="11503" width="4.7109375" style="53" customWidth="1"/>
    <col min="11504" max="11504" width="54.140625" style="53" customWidth="1"/>
    <col min="11505" max="11505" width="52" style="53" customWidth="1"/>
    <col min="11506" max="11506" width="5.28515625" style="53" customWidth="1"/>
    <col min="11507" max="11507" width="5.85546875" style="53" bestFit="1" customWidth="1"/>
    <col min="11508" max="11508" width="16.42578125" style="53" customWidth="1"/>
    <col min="11509" max="11509" width="4.5703125" style="53" customWidth="1"/>
    <col min="11510" max="11510" width="14.140625" style="53" customWidth="1"/>
    <col min="11511" max="11511" width="27.140625" style="53" customWidth="1"/>
    <col min="11512" max="11512" width="16.28515625" style="53" customWidth="1"/>
    <col min="11513" max="11513" width="13.85546875" style="53" customWidth="1"/>
    <col min="11514" max="11756" width="9.140625" style="53"/>
    <col min="11757" max="11757" width="1.7109375" style="53" customWidth="1"/>
    <col min="11758" max="11759" width="4.7109375" style="53" customWidth="1"/>
    <col min="11760" max="11760" width="54.140625" style="53" customWidth="1"/>
    <col min="11761" max="11761" width="52" style="53" customWidth="1"/>
    <col min="11762" max="11762" width="5.28515625" style="53" customWidth="1"/>
    <col min="11763" max="11763" width="5.85546875" style="53" bestFit="1" customWidth="1"/>
    <col min="11764" max="11764" width="16.42578125" style="53" customWidth="1"/>
    <col min="11765" max="11765" width="4.5703125" style="53" customWidth="1"/>
    <col min="11766" max="11766" width="14.140625" style="53" customWidth="1"/>
    <col min="11767" max="11767" width="27.140625" style="53" customWidth="1"/>
    <col min="11768" max="11768" width="16.28515625" style="53" customWidth="1"/>
    <col min="11769" max="11769" width="13.85546875" style="53" customWidth="1"/>
    <col min="11770" max="12012" width="9.140625" style="53"/>
    <col min="12013" max="12013" width="1.7109375" style="53" customWidth="1"/>
    <col min="12014" max="12015" width="4.7109375" style="53" customWidth="1"/>
    <col min="12016" max="12016" width="54.140625" style="53" customWidth="1"/>
    <col min="12017" max="12017" width="52" style="53" customWidth="1"/>
    <col min="12018" max="12018" width="5.28515625" style="53" customWidth="1"/>
    <col min="12019" max="12019" width="5.85546875" style="53" bestFit="1" customWidth="1"/>
    <col min="12020" max="12020" width="16.42578125" style="53" customWidth="1"/>
    <col min="12021" max="12021" width="4.5703125" style="53" customWidth="1"/>
    <col min="12022" max="12022" width="14.140625" style="53" customWidth="1"/>
    <col min="12023" max="12023" width="27.140625" style="53" customWidth="1"/>
    <col min="12024" max="12024" width="16.28515625" style="53" customWidth="1"/>
    <col min="12025" max="12025" width="13.85546875" style="53" customWidth="1"/>
    <col min="12026" max="12268" width="9.140625" style="53"/>
    <col min="12269" max="12269" width="1.7109375" style="53" customWidth="1"/>
    <col min="12270" max="12271" width="4.7109375" style="53" customWidth="1"/>
    <col min="12272" max="12272" width="54.140625" style="53" customWidth="1"/>
    <col min="12273" max="12273" width="52" style="53" customWidth="1"/>
    <col min="12274" max="12274" width="5.28515625" style="53" customWidth="1"/>
    <col min="12275" max="12275" width="5.85546875" style="53" bestFit="1" customWidth="1"/>
    <col min="12276" max="12276" width="16.42578125" style="53" customWidth="1"/>
    <col min="12277" max="12277" width="4.5703125" style="53" customWidth="1"/>
    <col min="12278" max="12278" width="14.140625" style="53" customWidth="1"/>
    <col min="12279" max="12279" width="27.140625" style="53" customWidth="1"/>
    <col min="12280" max="12280" width="16.28515625" style="53" customWidth="1"/>
    <col min="12281" max="12281" width="13.85546875" style="53" customWidth="1"/>
    <col min="12282" max="12524" width="9.140625" style="53"/>
    <col min="12525" max="12525" width="1.7109375" style="53" customWidth="1"/>
    <col min="12526" max="12527" width="4.7109375" style="53" customWidth="1"/>
    <col min="12528" max="12528" width="54.140625" style="53" customWidth="1"/>
    <col min="12529" max="12529" width="52" style="53" customWidth="1"/>
    <col min="12530" max="12530" width="5.28515625" style="53" customWidth="1"/>
    <col min="12531" max="12531" width="5.85546875" style="53" bestFit="1" customWidth="1"/>
    <col min="12532" max="12532" width="16.42578125" style="53" customWidth="1"/>
    <col min="12533" max="12533" width="4.5703125" style="53" customWidth="1"/>
    <col min="12534" max="12534" width="14.140625" style="53" customWidth="1"/>
    <col min="12535" max="12535" width="27.140625" style="53" customWidth="1"/>
    <col min="12536" max="12536" width="16.28515625" style="53" customWidth="1"/>
    <col min="12537" max="12537" width="13.85546875" style="53" customWidth="1"/>
    <col min="12538" max="12780" width="9.140625" style="53"/>
    <col min="12781" max="12781" width="1.7109375" style="53" customWidth="1"/>
    <col min="12782" max="12783" width="4.7109375" style="53" customWidth="1"/>
    <col min="12784" max="12784" width="54.140625" style="53" customWidth="1"/>
    <col min="12785" max="12785" width="52" style="53" customWidth="1"/>
    <col min="12786" max="12786" width="5.28515625" style="53" customWidth="1"/>
    <col min="12787" max="12787" width="5.85546875" style="53" bestFit="1" customWidth="1"/>
    <col min="12788" max="12788" width="16.42578125" style="53" customWidth="1"/>
    <col min="12789" max="12789" width="4.5703125" style="53" customWidth="1"/>
    <col min="12790" max="12790" width="14.140625" style="53" customWidth="1"/>
    <col min="12791" max="12791" width="27.140625" style="53" customWidth="1"/>
    <col min="12792" max="12792" width="16.28515625" style="53" customWidth="1"/>
    <col min="12793" max="12793" width="13.85546875" style="53" customWidth="1"/>
    <col min="12794" max="13036" width="9.140625" style="53"/>
    <col min="13037" max="13037" width="1.7109375" style="53" customWidth="1"/>
    <col min="13038" max="13039" width="4.7109375" style="53" customWidth="1"/>
    <col min="13040" max="13040" width="54.140625" style="53" customWidth="1"/>
    <col min="13041" max="13041" width="52" style="53" customWidth="1"/>
    <col min="13042" max="13042" width="5.28515625" style="53" customWidth="1"/>
    <col min="13043" max="13043" width="5.85546875" style="53" bestFit="1" customWidth="1"/>
    <col min="13044" max="13044" width="16.42578125" style="53" customWidth="1"/>
    <col min="13045" max="13045" width="4.5703125" style="53" customWidth="1"/>
    <col min="13046" max="13046" width="14.140625" style="53" customWidth="1"/>
    <col min="13047" max="13047" width="27.140625" style="53" customWidth="1"/>
    <col min="13048" max="13048" width="16.28515625" style="53" customWidth="1"/>
    <col min="13049" max="13049" width="13.85546875" style="53" customWidth="1"/>
    <col min="13050" max="13292" width="9.140625" style="53"/>
    <col min="13293" max="13293" width="1.7109375" style="53" customWidth="1"/>
    <col min="13294" max="13295" width="4.7109375" style="53" customWidth="1"/>
    <col min="13296" max="13296" width="54.140625" style="53" customWidth="1"/>
    <col min="13297" max="13297" width="52" style="53" customWidth="1"/>
    <col min="13298" max="13298" width="5.28515625" style="53" customWidth="1"/>
    <col min="13299" max="13299" width="5.85546875" style="53" bestFit="1" customWidth="1"/>
    <col min="13300" max="13300" width="16.42578125" style="53" customWidth="1"/>
    <col min="13301" max="13301" width="4.5703125" style="53" customWidth="1"/>
    <col min="13302" max="13302" width="14.140625" style="53" customWidth="1"/>
    <col min="13303" max="13303" width="27.140625" style="53" customWidth="1"/>
    <col min="13304" max="13304" width="16.28515625" style="53" customWidth="1"/>
    <col min="13305" max="13305" width="13.85546875" style="53" customWidth="1"/>
    <col min="13306" max="13548" width="9.140625" style="53"/>
    <col min="13549" max="13549" width="1.7109375" style="53" customWidth="1"/>
    <col min="13550" max="13551" width="4.7109375" style="53" customWidth="1"/>
    <col min="13552" max="13552" width="54.140625" style="53" customWidth="1"/>
    <col min="13553" max="13553" width="52" style="53" customWidth="1"/>
    <col min="13554" max="13554" width="5.28515625" style="53" customWidth="1"/>
    <col min="13555" max="13555" width="5.85546875" style="53" bestFit="1" customWidth="1"/>
    <col min="13556" max="13556" width="16.42578125" style="53" customWidth="1"/>
    <col min="13557" max="13557" width="4.5703125" style="53" customWidth="1"/>
    <col min="13558" max="13558" width="14.140625" style="53" customWidth="1"/>
    <col min="13559" max="13559" width="27.140625" style="53" customWidth="1"/>
    <col min="13560" max="13560" width="16.28515625" style="53" customWidth="1"/>
    <col min="13561" max="13561" width="13.85546875" style="53" customWidth="1"/>
    <col min="13562" max="13804" width="9.140625" style="53"/>
    <col min="13805" max="13805" width="1.7109375" style="53" customWidth="1"/>
    <col min="13806" max="13807" width="4.7109375" style="53" customWidth="1"/>
    <col min="13808" max="13808" width="54.140625" style="53" customWidth="1"/>
    <col min="13809" max="13809" width="52" style="53" customWidth="1"/>
    <col min="13810" max="13810" width="5.28515625" style="53" customWidth="1"/>
    <col min="13811" max="13811" width="5.85546875" style="53" bestFit="1" customWidth="1"/>
    <col min="13812" max="13812" width="16.42578125" style="53" customWidth="1"/>
    <col min="13813" max="13813" width="4.5703125" style="53" customWidth="1"/>
    <col min="13814" max="13814" width="14.140625" style="53" customWidth="1"/>
    <col min="13815" max="13815" width="27.140625" style="53" customWidth="1"/>
    <col min="13816" max="13816" width="16.28515625" style="53" customWidth="1"/>
    <col min="13817" max="13817" width="13.85546875" style="53" customWidth="1"/>
    <col min="13818" max="14060" width="9.140625" style="53"/>
    <col min="14061" max="14061" width="1.7109375" style="53" customWidth="1"/>
    <col min="14062" max="14063" width="4.7109375" style="53" customWidth="1"/>
    <col min="14064" max="14064" width="54.140625" style="53" customWidth="1"/>
    <col min="14065" max="14065" width="52" style="53" customWidth="1"/>
    <col min="14066" max="14066" width="5.28515625" style="53" customWidth="1"/>
    <col min="14067" max="14067" width="5.85546875" style="53" bestFit="1" customWidth="1"/>
    <col min="14068" max="14068" width="16.42578125" style="53" customWidth="1"/>
    <col min="14069" max="14069" width="4.5703125" style="53" customWidth="1"/>
    <col min="14070" max="14070" width="14.140625" style="53" customWidth="1"/>
    <col min="14071" max="14071" width="27.140625" style="53" customWidth="1"/>
    <col min="14072" max="14072" width="16.28515625" style="53" customWidth="1"/>
    <col min="14073" max="14073" width="13.85546875" style="53" customWidth="1"/>
    <col min="14074" max="14316" width="9.140625" style="53"/>
    <col min="14317" max="14317" width="1.7109375" style="53" customWidth="1"/>
    <col min="14318" max="14319" width="4.7109375" style="53" customWidth="1"/>
    <col min="14320" max="14320" width="54.140625" style="53" customWidth="1"/>
    <col min="14321" max="14321" width="52" style="53" customWidth="1"/>
    <col min="14322" max="14322" width="5.28515625" style="53" customWidth="1"/>
    <col min="14323" max="14323" width="5.85546875" style="53" bestFit="1" customWidth="1"/>
    <col min="14324" max="14324" width="16.42578125" style="53" customWidth="1"/>
    <col min="14325" max="14325" width="4.5703125" style="53" customWidth="1"/>
    <col min="14326" max="14326" width="14.140625" style="53" customWidth="1"/>
    <col min="14327" max="14327" width="27.140625" style="53" customWidth="1"/>
    <col min="14328" max="14328" width="16.28515625" style="53" customWidth="1"/>
    <col min="14329" max="14329" width="13.85546875" style="53" customWidth="1"/>
    <col min="14330" max="14572" width="9.140625" style="53"/>
    <col min="14573" max="14573" width="1.7109375" style="53" customWidth="1"/>
    <col min="14574" max="14575" width="4.7109375" style="53" customWidth="1"/>
    <col min="14576" max="14576" width="54.140625" style="53" customWidth="1"/>
    <col min="14577" max="14577" width="52" style="53" customWidth="1"/>
    <col min="14578" max="14578" width="5.28515625" style="53" customWidth="1"/>
    <col min="14579" max="14579" width="5.85546875" style="53" bestFit="1" customWidth="1"/>
    <col min="14580" max="14580" width="16.42578125" style="53" customWidth="1"/>
    <col min="14581" max="14581" width="4.5703125" style="53" customWidth="1"/>
    <col min="14582" max="14582" width="14.140625" style="53" customWidth="1"/>
    <col min="14583" max="14583" width="27.140625" style="53" customWidth="1"/>
    <col min="14584" max="14584" width="16.28515625" style="53" customWidth="1"/>
    <col min="14585" max="14585" width="13.85546875" style="53" customWidth="1"/>
    <col min="14586" max="14828" width="9.140625" style="53"/>
    <col min="14829" max="14829" width="1.7109375" style="53" customWidth="1"/>
    <col min="14830" max="14831" width="4.7109375" style="53" customWidth="1"/>
    <col min="14832" max="14832" width="54.140625" style="53" customWidth="1"/>
    <col min="14833" max="14833" width="52" style="53" customWidth="1"/>
    <col min="14834" max="14834" width="5.28515625" style="53" customWidth="1"/>
    <col min="14835" max="14835" width="5.85546875" style="53" bestFit="1" customWidth="1"/>
    <col min="14836" max="14836" width="16.42578125" style="53" customWidth="1"/>
    <col min="14837" max="14837" width="4.5703125" style="53" customWidth="1"/>
    <col min="14838" max="14838" width="14.140625" style="53" customWidth="1"/>
    <col min="14839" max="14839" width="27.140625" style="53" customWidth="1"/>
    <col min="14840" max="14840" width="16.28515625" style="53" customWidth="1"/>
    <col min="14841" max="14841" width="13.85546875" style="53" customWidth="1"/>
    <col min="14842" max="15084" width="9.140625" style="53"/>
    <col min="15085" max="15085" width="1.7109375" style="53" customWidth="1"/>
    <col min="15086" max="15087" width="4.7109375" style="53" customWidth="1"/>
    <col min="15088" max="15088" width="54.140625" style="53" customWidth="1"/>
    <col min="15089" max="15089" width="52" style="53" customWidth="1"/>
    <col min="15090" max="15090" width="5.28515625" style="53" customWidth="1"/>
    <col min="15091" max="15091" width="5.85546875" style="53" bestFit="1" customWidth="1"/>
    <col min="15092" max="15092" width="16.42578125" style="53" customWidth="1"/>
    <col min="15093" max="15093" width="4.5703125" style="53" customWidth="1"/>
    <col min="15094" max="15094" width="14.140625" style="53" customWidth="1"/>
    <col min="15095" max="15095" width="27.140625" style="53" customWidth="1"/>
    <col min="15096" max="15096" width="16.28515625" style="53" customWidth="1"/>
    <col min="15097" max="15097" width="13.85546875" style="53" customWidth="1"/>
    <col min="15098" max="15340" width="9.140625" style="53"/>
    <col min="15341" max="15341" width="1.7109375" style="53" customWidth="1"/>
    <col min="15342" max="15343" width="4.7109375" style="53" customWidth="1"/>
    <col min="15344" max="15344" width="54.140625" style="53" customWidth="1"/>
    <col min="15345" max="15345" width="52" style="53" customWidth="1"/>
    <col min="15346" max="15346" width="5.28515625" style="53" customWidth="1"/>
    <col min="15347" max="15347" width="5.85546875" style="53" bestFit="1" customWidth="1"/>
    <col min="15348" max="15348" width="16.42578125" style="53" customWidth="1"/>
    <col min="15349" max="15349" width="4.5703125" style="53" customWidth="1"/>
    <col min="15350" max="15350" width="14.140625" style="53" customWidth="1"/>
    <col min="15351" max="15351" width="27.140625" style="53" customWidth="1"/>
    <col min="15352" max="15352" width="16.28515625" style="53" customWidth="1"/>
    <col min="15353" max="15353" width="13.85546875" style="53" customWidth="1"/>
    <col min="15354" max="15596" width="9.140625" style="53"/>
    <col min="15597" max="15597" width="1.7109375" style="53" customWidth="1"/>
    <col min="15598" max="15599" width="4.7109375" style="53" customWidth="1"/>
    <col min="15600" max="15600" width="54.140625" style="53" customWidth="1"/>
    <col min="15601" max="15601" width="52" style="53" customWidth="1"/>
    <col min="15602" max="15602" width="5.28515625" style="53" customWidth="1"/>
    <col min="15603" max="15603" width="5.85546875" style="53" bestFit="1" customWidth="1"/>
    <col min="15604" max="15604" width="16.42578125" style="53" customWidth="1"/>
    <col min="15605" max="15605" width="4.5703125" style="53" customWidth="1"/>
    <col min="15606" max="15606" width="14.140625" style="53" customWidth="1"/>
    <col min="15607" max="15607" width="27.140625" style="53" customWidth="1"/>
    <col min="15608" max="15608" width="16.28515625" style="53" customWidth="1"/>
    <col min="15609" max="15609" width="13.85546875" style="53" customWidth="1"/>
    <col min="15610" max="15852" width="9.140625" style="53"/>
    <col min="15853" max="15853" width="1.7109375" style="53" customWidth="1"/>
    <col min="15854" max="15855" width="4.7109375" style="53" customWidth="1"/>
    <col min="15856" max="15856" width="54.140625" style="53" customWidth="1"/>
    <col min="15857" max="15857" width="52" style="53" customWidth="1"/>
    <col min="15858" max="15858" width="5.28515625" style="53" customWidth="1"/>
    <col min="15859" max="15859" width="5.85546875" style="53" bestFit="1" customWidth="1"/>
    <col min="15860" max="15860" width="16.42578125" style="53" customWidth="1"/>
    <col min="15861" max="15861" width="4.5703125" style="53" customWidth="1"/>
    <col min="15862" max="15862" width="14.140625" style="53" customWidth="1"/>
    <col min="15863" max="15863" width="27.140625" style="53" customWidth="1"/>
    <col min="15864" max="15864" width="16.28515625" style="53" customWidth="1"/>
    <col min="15865" max="15865" width="13.85546875" style="53" customWidth="1"/>
    <col min="15866" max="16108" width="9.140625" style="53"/>
    <col min="16109" max="16109" width="1.7109375" style="53" customWidth="1"/>
    <col min="16110" max="16111" width="4.7109375" style="53" customWidth="1"/>
    <col min="16112" max="16112" width="54.140625" style="53" customWidth="1"/>
    <col min="16113" max="16113" width="52" style="53" customWidth="1"/>
    <col min="16114" max="16114" width="5.28515625" style="53" customWidth="1"/>
    <col min="16115" max="16115" width="5.85546875" style="53" bestFit="1" customWidth="1"/>
    <col min="16116" max="16116" width="16.42578125" style="53" customWidth="1"/>
    <col min="16117" max="16117" width="4.5703125" style="53" customWidth="1"/>
    <col min="16118" max="16118" width="14.140625" style="53" customWidth="1"/>
    <col min="16119" max="16119" width="27.140625" style="53" customWidth="1"/>
    <col min="16120" max="16120" width="16.28515625" style="53" customWidth="1"/>
    <col min="16121" max="16121" width="13.85546875" style="53" customWidth="1"/>
    <col min="16122" max="16384" width="9.140625" style="53"/>
  </cols>
  <sheetData>
    <row r="2" spans="2:22" s="5" customFormat="1" ht="15.75" x14ac:dyDescent="0.25">
      <c r="B2" s="1440"/>
      <c r="C2" s="1645" t="s">
        <v>431</v>
      </c>
      <c r="D2" s="1645"/>
      <c r="E2" s="1645"/>
      <c r="F2" s="1645"/>
      <c r="G2" s="1645"/>
      <c r="H2" s="1645"/>
      <c r="I2" s="1645"/>
      <c r="J2" s="1645"/>
      <c r="K2" s="1645"/>
      <c r="L2" s="1645"/>
      <c r="M2" s="1645"/>
      <c r="N2" s="1438"/>
      <c r="O2" s="1438"/>
      <c r="P2" s="451"/>
      <c r="Q2" s="451"/>
      <c r="R2" s="3"/>
      <c r="T2" s="1442"/>
      <c r="U2" s="1442"/>
      <c r="V2" s="1442"/>
    </row>
    <row r="3" spans="2:22" s="5" customFormat="1" ht="13.5" customHeight="1" x14ac:dyDescent="0.25">
      <c r="B3" s="1440"/>
      <c r="C3" s="1646" t="s">
        <v>0</v>
      </c>
      <c r="D3" s="1646"/>
      <c r="E3" s="1646"/>
      <c r="F3" s="1646"/>
      <c r="G3" s="1646"/>
      <c r="H3" s="1646"/>
      <c r="I3" s="1646"/>
      <c r="J3" s="1646"/>
      <c r="K3" s="1646"/>
      <c r="L3" s="1646"/>
      <c r="M3" s="1646"/>
      <c r="N3" s="1646"/>
      <c r="O3" s="1646"/>
      <c r="P3" s="1646"/>
      <c r="Q3" s="1439"/>
      <c r="R3" s="481"/>
      <c r="T3" s="1442"/>
      <c r="U3" s="1442"/>
      <c r="V3" s="1442"/>
    </row>
    <row r="4" spans="2:22" s="4" customFormat="1" ht="14.25" customHeight="1" x14ac:dyDescent="0.25">
      <c r="B4" s="1440"/>
      <c r="C4" s="1646" t="s">
        <v>1</v>
      </c>
      <c r="D4" s="1646"/>
      <c r="E4" s="1646"/>
      <c r="F4" s="1646"/>
      <c r="G4" s="1646"/>
      <c r="H4" s="1646"/>
      <c r="I4" s="1646"/>
      <c r="J4" s="1646"/>
      <c r="K4" s="1646"/>
      <c r="L4" s="1646"/>
      <c r="M4" s="1646"/>
      <c r="N4" s="1646"/>
      <c r="O4" s="1646"/>
      <c r="P4" s="1646"/>
      <c r="Q4" s="1439"/>
      <c r="R4" s="481"/>
      <c r="T4" s="1410"/>
      <c r="U4" s="1410"/>
      <c r="V4" s="1410">
        <v>5400000000</v>
      </c>
    </row>
    <row r="5" spans="2:22" s="4" customFormat="1" ht="15.75" x14ac:dyDescent="0.25">
      <c r="B5" s="1440"/>
      <c r="C5" s="452"/>
      <c r="D5" s="453"/>
      <c r="E5" s="453"/>
      <c r="F5" s="453"/>
      <c r="G5" s="454"/>
      <c r="H5" s="455"/>
      <c r="I5" s="456"/>
      <c r="J5" s="457"/>
      <c r="K5" s="457"/>
      <c r="L5" s="457"/>
      <c r="M5" s="457"/>
      <c r="N5" s="457"/>
      <c r="O5" s="457"/>
      <c r="P5" s="458"/>
      <c r="Q5" s="456"/>
      <c r="R5" s="1441"/>
      <c r="T5" s="1410">
        <v>467675925842</v>
      </c>
      <c r="U5" s="1410"/>
      <c r="V5" s="1410">
        <v>417425925842</v>
      </c>
    </row>
    <row r="6" spans="2:22" s="4" customFormat="1" ht="18" customHeight="1" x14ac:dyDescent="0.25">
      <c r="B6" s="1440"/>
      <c r="C6" s="1647" t="s">
        <v>2</v>
      </c>
      <c r="D6" s="1647"/>
      <c r="E6" s="1505" t="s">
        <v>3</v>
      </c>
      <c r="F6" s="1505"/>
      <c r="G6" s="1505"/>
      <c r="H6" s="459"/>
      <c r="I6" s="456"/>
      <c r="J6" s="457"/>
      <c r="K6" s="457"/>
      <c r="L6" s="457"/>
      <c r="M6" s="457"/>
      <c r="N6" s="457"/>
      <c r="O6" s="457"/>
      <c r="P6" s="458"/>
      <c r="Q6" s="456"/>
      <c r="R6" s="1441"/>
      <c r="S6" s="1085">
        <f>S11-S8</f>
        <v>0</v>
      </c>
      <c r="T6" s="1410"/>
      <c r="U6" s="1410"/>
      <c r="V6" s="1410">
        <f>V5+V4</f>
        <v>422825925842</v>
      </c>
    </row>
    <row r="7" spans="2:22" s="4" customFormat="1" ht="8.25" customHeight="1" thickBot="1" x14ac:dyDescent="0.3">
      <c r="B7" s="1440"/>
      <c r="C7" s="6"/>
      <c r="D7" s="8"/>
      <c r="E7" s="8"/>
      <c r="F7" s="8"/>
      <c r="G7" s="9"/>
      <c r="H7" s="10"/>
      <c r="I7" s="11"/>
      <c r="J7" s="12"/>
      <c r="K7" s="12"/>
      <c r="L7" s="12"/>
      <c r="M7" s="12"/>
      <c r="N7" s="12"/>
      <c r="O7" s="12"/>
      <c r="P7" s="7"/>
      <c r="Q7" s="11"/>
      <c r="R7" s="1441"/>
      <c r="T7" s="1410"/>
      <c r="U7" s="1410"/>
      <c r="V7" s="1410"/>
    </row>
    <row r="8" spans="2:22" s="15" customFormat="1" ht="32.25" customHeight="1" thickTop="1" x14ac:dyDescent="0.25">
      <c r="B8" s="13"/>
      <c r="C8" s="1648" t="s">
        <v>433</v>
      </c>
      <c r="D8" s="1649"/>
      <c r="E8" s="1650"/>
      <c r="F8" s="1654" t="s">
        <v>418</v>
      </c>
      <c r="G8" s="1650"/>
      <c r="H8" s="1656" t="s">
        <v>417</v>
      </c>
      <c r="I8" s="1658" t="s">
        <v>419</v>
      </c>
      <c r="J8" s="1662" t="s">
        <v>530</v>
      </c>
      <c r="K8" s="1662" t="s">
        <v>534</v>
      </c>
      <c r="L8" s="1662" t="s">
        <v>488</v>
      </c>
      <c r="M8" s="1666" t="s">
        <v>533</v>
      </c>
      <c r="N8" s="1069" t="s">
        <v>509</v>
      </c>
      <c r="O8" s="987"/>
      <c r="P8" s="14"/>
      <c r="Q8" s="1643" t="s">
        <v>469</v>
      </c>
      <c r="R8" s="441" t="s">
        <v>426</v>
      </c>
      <c r="S8" s="16">
        <v>15848487571</v>
      </c>
      <c r="T8" s="21">
        <f>S10+S11</f>
        <v>323813925842</v>
      </c>
      <c r="U8" s="21">
        <v>417675925842</v>
      </c>
      <c r="V8" s="21">
        <v>448325925842</v>
      </c>
    </row>
    <row r="9" spans="2:22" s="15" customFormat="1" x14ac:dyDescent="0.25">
      <c r="B9" s="13"/>
      <c r="C9" s="1651"/>
      <c r="D9" s="1652"/>
      <c r="E9" s="1653"/>
      <c r="F9" s="1655"/>
      <c r="G9" s="1653"/>
      <c r="H9" s="1657"/>
      <c r="I9" s="1659"/>
      <c r="J9" s="1663"/>
      <c r="K9" s="1663"/>
      <c r="L9" s="1663"/>
      <c r="M9" s="1667"/>
      <c r="N9" s="1070"/>
      <c r="O9" s="987"/>
      <c r="P9" s="14"/>
      <c r="Q9" s="1644"/>
      <c r="R9" s="14"/>
      <c r="T9" s="21"/>
      <c r="U9" s="21"/>
      <c r="V9" s="21"/>
    </row>
    <row r="10" spans="2:22" s="15" customFormat="1" ht="19.5" customHeight="1" x14ac:dyDescent="0.25">
      <c r="B10" s="13"/>
      <c r="C10" s="1632">
        <v>1</v>
      </c>
      <c r="D10" s="1633"/>
      <c r="E10" s="1634"/>
      <c r="F10" s="1635">
        <v>2</v>
      </c>
      <c r="G10" s="1636"/>
      <c r="H10" s="18">
        <v>3</v>
      </c>
      <c r="I10" s="18">
        <v>4</v>
      </c>
      <c r="J10" s="607">
        <v>9</v>
      </c>
      <c r="K10" s="607">
        <v>5</v>
      </c>
      <c r="L10" s="858">
        <v>5</v>
      </c>
      <c r="M10" s="859">
        <v>5</v>
      </c>
      <c r="N10" s="988"/>
      <c r="O10" s="988"/>
      <c r="P10" s="20"/>
      <c r="Q10" s="507"/>
      <c r="R10" s="20"/>
      <c r="S10" s="21">
        <v>307965438271</v>
      </c>
      <c r="T10" s="21">
        <f>S10-K11</f>
        <v>-37348487571</v>
      </c>
      <c r="U10" s="21">
        <f>K11-L11</f>
        <v>21500000000</v>
      </c>
      <c r="V10" s="21">
        <f>M11-V8</f>
        <v>0</v>
      </c>
    </row>
    <row r="11" spans="2:22" s="29" customFormat="1" ht="29.25" customHeight="1" x14ac:dyDescent="0.25">
      <c r="B11" s="13"/>
      <c r="C11" s="22"/>
      <c r="D11" s="1635" t="s">
        <v>4</v>
      </c>
      <c r="E11" s="1637"/>
      <c r="F11" s="1637"/>
      <c r="G11" s="1636"/>
      <c r="H11" s="23"/>
      <c r="I11" s="24"/>
      <c r="J11" s="608">
        <f>J12+J52</f>
        <v>323813925842</v>
      </c>
      <c r="K11" s="608">
        <f>K12+K52</f>
        <v>345313925842</v>
      </c>
      <c r="L11" s="608">
        <f>L12+L52</f>
        <v>323813925842</v>
      </c>
      <c r="M11" s="25">
        <f>M12+M52</f>
        <v>448325925842</v>
      </c>
      <c r="N11" s="989"/>
      <c r="O11" s="989"/>
      <c r="P11" s="26"/>
      <c r="Q11" s="508"/>
      <c r="R11" s="485">
        <f>SUM(R12:R262)</f>
        <v>19915000000</v>
      </c>
      <c r="S11" s="27">
        <f>J11-S10</f>
        <v>15848487571</v>
      </c>
      <c r="T11" s="396">
        <f>K11-T8</f>
        <v>21500000000</v>
      </c>
      <c r="U11" s="396">
        <f>L11-M11</f>
        <v>-124512000000</v>
      </c>
      <c r="V11" s="396"/>
    </row>
    <row r="12" spans="2:22" s="15" customFormat="1" ht="30" customHeight="1" x14ac:dyDescent="0.25">
      <c r="B12" s="13"/>
      <c r="C12" s="30"/>
      <c r="D12" s="1638"/>
      <c r="E12" s="1638"/>
      <c r="F12" s="1638"/>
      <c r="G12" s="1638"/>
      <c r="H12" s="1638"/>
      <c r="I12" s="1639"/>
      <c r="J12" s="609">
        <f>J13+J24+J40+J43+J46</f>
        <v>11438515300</v>
      </c>
      <c r="K12" s="609">
        <f>K13+K24+K40+K43+K46</f>
        <v>11438515300</v>
      </c>
      <c r="L12" s="609">
        <f>L13+L24+L40+L43+L46</f>
        <v>11438515300</v>
      </c>
      <c r="M12" s="31">
        <f>M13+M24+M40+M43+M46</f>
        <v>11388515300</v>
      </c>
      <c r="N12" s="990"/>
      <c r="O12" s="990"/>
      <c r="P12" s="32"/>
      <c r="Q12" s="509"/>
      <c r="R12" s="486"/>
      <c r="S12" s="33"/>
      <c r="T12" s="21"/>
      <c r="U12" s="21">
        <f>M11-T8</f>
        <v>124512000000</v>
      </c>
      <c r="V12" s="21"/>
    </row>
    <row r="13" spans="2:22" s="15" customFormat="1" ht="21" customHeight="1" x14ac:dyDescent="0.25">
      <c r="B13" s="13"/>
      <c r="C13" s="34" t="s">
        <v>432</v>
      </c>
      <c r="D13" s="1640" t="s">
        <v>6</v>
      </c>
      <c r="E13" s="1641"/>
      <c r="F13" s="1641"/>
      <c r="G13" s="1642"/>
      <c r="H13" s="35" t="s">
        <v>7</v>
      </c>
      <c r="I13" s="36"/>
      <c r="J13" s="610">
        <f>J20+J15+J16+J17+J18+J21+J22+J14+J19</f>
        <v>5166573300</v>
      </c>
      <c r="K13" s="610">
        <f>K20+K15+K16+K17+K18+K21+K22+K14+K19</f>
        <v>5166573300</v>
      </c>
      <c r="L13" s="610">
        <f>L20+L15+L16+L17+L18+L21+L22+L14+L19</f>
        <v>5166573300</v>
      </c>
      <c r="M13" s="37">
        <f>M20+M15+M16+M17+M18+M21+M22+M14+M19</f>
        <v>5166573300</v>
      </c>
      <c r="N13" s="991"/>
      <c r="O13" s="991"/>
      <c r="P13" s="38"/>
      <c r="Q13" s="510"/>
      <c r="R13" s="487"/>
      <c r="T13" s="21"/>
      <c r="U13" s="21">
        <f>U8-M11</f>
        <v>-30650000000</v>
      </c>
      <c r="V13" s="21"/>
    </row>
    <row r="14" spans="2:22" s="62" customFormat="1" ht="27.75" customHeight="1" x14ac:dyDescent="0.25">
      <c r="B14" s="59"/>
      <c r="C14" s="39"/>
      <c r="D14" s="140" t="s">
        <v>5</v>
      </c>
      <c r="E14" s="1623" t="s">
        <v>9</v>
      </c>
      <c r="F14" s="1624"/>
      <c r="G14" s="1625"/>
      <c r="H14" s="745" t="s">
        <v>497</v>
      </c>
      <c r="I14" s="746">
        <v>1</v>
      </c>
      <c r="J14" s="611">
        <v>755192500</v>
      </c>
      <c r="K14" s="611">
        <v>755192500</v>
      </c>
      <c r="L14" s="611">
        <f>755192500</f>
        <v>755192500</v>
      </c>
      <c r="M14" s="43">
        <f>755192500</f>
        <v>755192500</v>
      </c>
      <c r="N14" s="44"/>
      <c r="O14" s="44"/>
      <c r="P14" s="44"/>
      <c r="Q14" s="747"/>
      <c r="R14" s="488"/>
      <c r="T14" s="731"/>
      <c r="U14" s="731"/>
      <c r="V14" s="731"/>
    </row>
    <row r="15" spans="2:22" s="62" customFormat="1" ht="26.25" customHeight="1" x14ac:dyDescent="0.25">
      <c r="B15" s="59"/>
      <c r="C15" s="39"/>
      <c r="D15" s="79" t="s">
        <v>10</v>
      </c>
      <c r="E15" s="1623" t="s">
        <v>11</v>
      </c>
      <c r="F15" s="1624"/>
      <c r="G15" s="1625"/>
      <c r="H15" s="837" t="s">
        <v>12</v>
      </c>
      <c r="I15" s="746">
        <v>1</v>
      </c>
      <c r="J15" s="612">
        <v>1921800000</v>
      </c>
      <c r="K15" s="612">
        <v>1921800000</v>
      </c>
      <c r="L15" s="612">
        <v>1921800000</v>
      </c>
      <c r="M15" s="47">
        <v>1921800000</v>
      </c>
      <c r="N15" s="44"/>
      <c r="O15" s="44"/>
      <c r="P15" s="44"/>
      <c r="Q15" s="747"/>
      <c r="R15" s="488"/>
      <c r="T15" s="731">
        <v>1958487571</v>
      </c>
      <c r="U15" s="731"/>
      <c r="V15" s="731"/>
    </row>
    <row r="16" spans="2:22" s="62" customFormat="1" ht="26.25" customHeight="1" x14ac:dyDescent="0.25">
      <c r="B16" s="59"/>
      <c r="C16" s="39"/>
      <c r="D16" s="140" t="s">
        <v>13</v>
      </c>
      <c r="E16" s="1623" t="s">
        <v>14</v>
      </c>
      <c r="F16" s="1624"/>
      <c r="G16" s="1625"/>
      <c r="H16" s="837" t="s">
        <v>15</v>
      </c>
      <c r="I16" s="746">
        <v>1</v>
      </c>
      <c r="J16" s="612">
        <f>1968500000-21419200</f>
        <v>1947080800</v>
      </c>
      <c r="K16" s="612">
        <f>1968500000-21419200</f>
        <v>1947080800</v>
      </c>
      <c r="L16" s="612">
        <f>1968500000-21419200</f>
        <v>1947080800</v>
      </c>
      <c r="M16" s="47">
        <f>1968500000-21419200</f>
        <v>1947080800</v>
      </c>
      <c r="N16" s="44"/>
      <c r="O16" s="44"/>
      <c r="P16" s="44"/>
      <c r="Q16" s="747"/>
      <c r="R16" s="488"/>
      <c r="T16" s="731"/>
      <c r="U16" s="731"/>
      <c r="V16" s="731"/>
    </row>
    <row r="17" spans="2:22" s="62" customFormat="1" ht="20.25" customHeight="1" x14ac:dyDescent="0.25">
      <c r="B17" s="59"/>
      <c r="C17" s="39"/>
      <c r="D17" s="140" t="s">
        <v>16</v>
      </c>
      <c r="E17" s="1623" t="s">
        <v>17</v>
      </c>
      <c r="F17" s="1624"/>
      <c r="G17" s="1625"/>
      <c r="H17" s="837" t="s">
        <v>18</v>
      </c>
      <c r="I17" s="746">
        <v>1</v>
      </c>
      <c r="J17" s="612">
        <v>200000000</v>
      </c>
      <c r="K17" s="612">
        <v>200000000</v>
      </c>
      <c r="L17" s="612">
        <v>200000000</v>
      </c>
      <c r="M17" s="47">
        <v>200000000</v>
      </c>
      <c r="N17" s="44"/>
      <c r="O17" s="44"/>
      <c r="P17" s="44"/>
      <c r="Q17" s="747"/>
      <c r="R17" s="488"/>
      <c r="T17" s="731"/>
      <c r="U17" s="731"/>
      <c r="V17" s="731"/>
    </row>
    <row r="18" spans="2:22" s="62" customFormat="1" ht="20.25" customHeight="1" x14ac:dyDescent="0.25">
      <c r="B18" s="59"/>
      <c r="C18" s="39"/>
      <c r="D18" s="140" t="s">
        <v>19</v>
      </c>
      <c r="E18" s="1623" t="s">
        <v>20</v>
      </c>
      <c r="F18" s="1624"/>
      <c r="G18" s="1625"/>
      <c r="H18" s="837" t="s">
        <v>21</v>
      </c>
      <c r="I18" s="746">
        <v>1</v>
      </c>
      <c r="J18" s="612">
        <f>238307500-65807500</f>
        <v>172500000</v>
      </c>
      <c r="K18" s="612">
        <f>238307500-65807500</f>
        <v>172500000</v>
      </c>
      <c r="L18" s="612">
        <f>238307500-65807500</f>
        <v>172500000</v>
      </c>
      <c r="M18" s="47">
        <f>238307500-65807500</f>
        <v>172500000</v>
      </c>
      <c r="N18" s="44"/>
      <c r="O18" s="44"/>
      <c r="P18" s="44"/>
      <c r="Q18" s="747"/>
      <c r="R18" s="488"/>
      <c r="T18" s="731"/>
      <c r="U18" s="731"/>
      <c r="V18" s="731"/>
    </row>
    <row r="19" spans="2:22" s="62" customFormat="1" ht="22.5" customHeight="1" x14ac:dyDescent="0.25">
      <c r="B19" s="59"/>
      <c r="C19" s="39"/>
      <c r="D19" s="140" t="s">
        <v>27</v>
      </c>
      <c r="E19" s="1629" t="s">
        <v>23</v>
      </c>
      <c r="F19" s="1630"/>
      <c r="G19" s="1631"/>
      <c r="H19" s="843" t="s">
        <v>24</v>
      </c>
      <c r="I19" s="746">
        <v>1</v>
      </c>
      <c r="J19" s="612">
        <v>100000000</v>
      </c>
      <c r="K19" s="612">
        <v>100000000</v>
      </c>
      <c r="L19" s="612">
        <v>100000000</v>
      </c>
      <c r="M19" s="47">
        <v>100000000</v>
      </c>
      <c r="N19" s="44"/>
      <c r="O19" s="44"/>
      <c r="P19" s="44"/>
      <c r="Q19" s="747"/>
      <c r="R19" s="488"/>
      <c r="T19" s="731"/>
      <c r="U19" s="731"/>
      <c r="V19" s="731"/>
    </row>
    <row r="20" spans="2:22" s="62" customFormat="1" ht="28.5" customHeight="1" x14ac:dyDescent="0.25">
      <c r="B20" s="59"/>
      <c r="C20" s="49"/>
      <c r="D20" s="79" t="s">
        <v>30</v>
      </c>
      <c r="E20" s="1623" t="s">
        <v>25</v>
      </c>
      <c r="F20" s="1624"/>
      <c r="G20" s="1625"/>
      <c r="H20" s="80" t="s">
        <v>26</v>
      </c>
      <c r="I20" s="81">
        <v>1</v>
      </c>
      <c r="J20" s="613">
        <v>10000000</v>
      </c>
      <c r="K20" s="613">
        <v>10000000</v>
      </c>
      <c r="L20" s="613">
        <v>10000000</v>
      </c>
      <c r="M20" s="52">
        <v>10000000</v>
      </c>
      <c r="N20" s="44"/>
      <c r="O20" s="44"/>
      <c r="P20" s="44"/>
      <c r="Q20" s="844"/>
      <c r="R20" s="488"/>
      <c r="T20" s="731"/>
      <c r="U20" s="731"/>
      <c r="V20" s="731"/>
    </row>
    <row r="21" spans="2:22" s="62" customFormat="1" ht="21.75" customHeight="1" x14ac:dyDescent="0.25">
      <c r="B21" s="59"/>
      <c r="C21" s="39"/>
      <c r="D21" s="140" t="s">
        <v>8</v>
      </c>
      <c r="E21" s="1623" t="s">
        <v>28</v>
      </c>
      <c r="F21" s="1624"/>
      <c r="G21" s="1625"/>
      <c r="H21" s="837" t="s">
        <v>29</v>
      </c>
      <c r="I21" s="746">
        <v>1</v>
      </c>
      <c r="J21" s="612">
        <f>40000000-10000000</f>
        <v>30000000</v>
      </c>
      <c r="K21" s="612">
        <f>40000000-10000000</f>
        <v>30000000</v>
      </c>
      <c r="L21" s="612">
        <f>40000000-10000000</f>
        <v>30000000</v>
      </c>
      <c r="M21" s="47">
        <f>40000000-10000000</f>
        <v>30000000</v>
      </c>
      <c r="N21" s="44"/>
      <c r="O21" s="44"/>
      <c r="P21" s="44"/>
      <c r="Q21" s="747"/>
      <c r="R21" s="488"/>
      <c r="T21" s="731"/>
      <c r="U21" s="731"/>
      <c r="V21" s="731"/>
    </row>
    <row r="22" spans="2:22" s="62" customFormat="1" ht="27" customHeight="1" x14ac:dyDescent="0.25">
      <c r="B22" s="59"/>
      <c r="C22" s="39"/>
      <c r="D22" s="140" t="s">
        <v>22</v>
      </c>
      <c r="E22" s="1623" t="s">
        <v>31</v>
      </c>
      <c r="F22" s="1624"/>
      <c r="G22" s="1625"/>
      <c r="H22" s="837" t="s">
        <v>32</v>
      </c>
      <c r="I22" s="746">
        <v>1</v>
      </c>
      <c r="J22" s="612">
        <f>30000000</f>
        <v>30000000</v>
      </c>
      <c r="K22" s="612">
        <f>30000000</f>
        <v>30000000</v>
      </c>
      <c r="L22" s="612">
        <f>30000000</f>
        <v>30000000</v>
      </c>
      <c r="M22" s="47">
        <f>30000000</f>
        <v>30000000</v>
      </c>
      <c r="N22" s="44"/>
      <c r="O22" s="44"/>
      <c r="P22" s="44"/>
      <c r="Q22" s="747"/>
      <c r="R22" s="488"/>
      <c r="T22" s="731"/>
      <c r="U22" s="731"/>
      <c r="V22" s="731"/>
    </row>
    <row r="23" spans="2:22" s="62" customFormat="1" ht="3.75" customHeight="1" x14ac:dyDescent="0.25">
      <c r="B23" s="59"/>
      <c r="C23" s="766"/>
      <c r="D23" s="759"/>
      <c r="E23" s="845"/>
      <c r="F23" s="1611"/>
      <c r="G23" s="1612"/>
      <c r="H23" s="846"/>
      <c r="I23" s="847"/>
      <c r="J23" s="611"/>
      <c r="K23" s="611"/>
      <c r="L23" s="611"/>
      <c r="M23" s="43"/>
      <c r="N23" s="44"/>
      <c r="O23" s="44"/>
      <c r="P23" s="44"/>
      <c r="Q23" s="848"/>
      <c r="R23" s="488"/>
      <c r="T23" s="731"/>
      <c r="U23" s="731"/>
      <c r="V23" s="731"/>
    </row>
    <row r="24" spans="2:22" s="62" customFormat="1" ht="26.25" customHeight="1" x14ac:dyDescent="0.25">
      <c r="B24" s="59"/>
      <c r="C24" s="34" t="s">
        <v>434</v>
      </c>
      <c r="D24" s="1640" t="s">
        <v>35</v>
      </c>
      <c r="E24" s="1641"/>
      <c r="F24" s="1641"/>
      <c r="G24" s="1642"/>
      <c r="H24" s="35" t="s">
        <v>36</v>
      </c>
      <c r="I24" s="36"/>
      <c r="J24" s="610">
        <f>J25+J26+J27+J28+J29+J33+J36+J37+J38</f>
        <v>4220250000</v>
      </c>
      <c r="K24" s="610">
        <f>K25+K26+K27+K28+K29+K33+K36+K37+K38</f>
        <v>4220250000</v>
      </c>
      <c r="L24" s="610">
        <f>L25+L26+L27+L28+L29+L33+L36+L37+L38</f>
        <v>4220250000</v>
      </c>
      <c r="M24" s="37">
        <f>M25+M26+M27+M28+M29+M33+M36+M37+M38</f>
        <v>4220250000</v>
      </c>
      <c r="N24" s="38"/>
      <c r="O24" s="38"/>
      <c r="P24" s="38"/>
      <c r="Q24" s="724"/>
      <c r="R24" s="487"/>
      <c r="T24" s="731"/>
      <c r="U24" s="731"/>
      <c r="V24" s="731"/>
    </row>
    <row r="25" spans="2:22" s="62" customFormat="1" ht="21" customHeight="1" x14ac:dyDescent="0.25">
      <c r="B25" s="59"/>
      <c r="C25" s="39"/>
      <c r="D25" s="140" t="s">
        <v>5</v>
      </c>
      <c r="E25" s="1529" t="s">
        <v>37</v>
      </c>
      <c r="F25" s="1622"/>
      <c r="G25" s="1530"/>
      <c r="H25" s="1161" t="s">
        <v>563</v>
      </c>
      <c r="I25" s="746">
        <v>1</v>
      </c>
      <c r="J25" s="611">
        <v>350000000</v>
      </c>
      <c r="K25" s="611">
        <v>350000000</v>
      </c>
      <c r="L25" s="611">
        <v>350000000</v>
      </c>
      <c r="M25" s="43">
        <v>350000000</v>
      </c>
      <c r="N25" s="44"/>
      <c r="O25" s="44"/>
      <c r="P25" s="44"/>
      <c r="Q25" s="747"/>
      <c r="R25" s="488"/>
      <c r="T25" s="731"/>
      <c r="U25" s="731"/>
      <c r="V25" s="731"/>
    </row>
    <row r="26" spans="2:22" s="62" customFormat="1" ht="21" customHeight="1" x14ac:dyDescent="0.25">
      <c r="B26" s="59"/>
      <c r="C26" s="39"/>
      <c r="D26" s="140" t="s">
        <v>10</v>
      </c>
      <c r="E26" s="1529" t="s">
        <v>485</v>
      </c>
      <c r="F26" s="1622"/>
      <c r="G26" s="1530"/>
      <c r="H26" s="1161" t="s">
        <v>39</v>
      </c>
      <c r="I26" s="746">
        <v>1</v>
      </c>
      <c r="J26" s="611">
        <v>452890000</v>
      </c>
      <c r="K26" s="611">
        <v>452890000</v>
      </c>
      <c r="L26" s="611">
        <f>452890000</f>
        <v>452890000</v>
      </c>
      <c r="M26" s="43">
        <f>452890000</f>
        <v>452890000</v>
      </c>
      <c r="N26" s="44"/>
      <c r="O26" s="44"/>
      <c r="P26" s="44"/>
      <c r="Q26" s="747"/>
      <c r="R26" s="488"/>
      <c r="T26" s="731"/>
      <c r="U26" s="731"/>
      <c r="V26" s="731"/>
    </row>
    <row r="27" spans="2:22" s="62" customFormat="1" ht="21" customHeight="1" x14ac:dyDescent="0.25">
      <c r="B27" s="59"/>
      <c r="C27" s="39"/>
      <c r="D27" s="140" t="s">
        <v>13</v>
      </c>
      <c r="E27" s="1529" t="s">
        <v>40</v>
      </c>
      <c r="F27" s="1622"/>
      <c r="G27" s="1530"/>
      <c r="H27" s="1161" t="s">
        <v>41</v>
      </c>
      <c r="I27" s="746">
        <v>1</v>
      </c>
      <c r="J27" s="612">
        <f>600000000</f>
        <v>600000000</v>
      </c>
      <c r="K27" s="612">
        <f>600000000</f>
        <v>600000000</v>
      </c>
      <c r="L27" s="612">
        <f>600000000</f>
        <v>600000000</v>
      </c>
      <c r="M27" s="47">
        <f>600000000</f>
        <v>600000000</v>
      </c>
      <c r="N27" s="44"/>
      <c r="O27" s="44"/>
      <c r="P27" s="44"/>
      <c r="Q27" s="747"/>
      <c r="R27" s="488"/>
      <c r="T27" s="731"/>
      <c r="U27" s="731"/>
      <c r="V27" s="731"/>
    </row>
    <row r="28" spans="2:22" s="62" customFormat="1" ht="21.75" customHeight="1" x14ac:dyDescent="0.25">
      <c r="B28" s="59"/>
      <c r="C28" s="766"/>
      <c r="D28" s="759" t="s">
        <v>16</v>
      </c>
      <c r="E28" s="1529" t="s">
        <v>42</v>
      </c>
      <c r="F28" s="1622"/>
      <c r="G28" s="1530"/>
      <c r="H28" s="1161" t="s">
        <v>43</v>
      </c>
      <c r="I28" s="746">
        <v>1</v>
      </c>
      <c r="J28" s="611">
        <v>243360000</v>
      </c>
      <c r="K28" s="611">
        <v>243360000</v>
      </c>
      <c r="L28" s="611">
        <v>243360000</v>
      </c>
      <c r="M28" s="43">
        <v>243360000</v>
      </c>
      <c r="N28" s="44"/>
      <c r="O28" s="44"/>
      <c r="P28" s="44"/>
      <c r="Q28" s="747"/>
      <c r="R28" s="488"/>
      <c r="T28" s="731"/>
      <c r="U28" s="731"/>
      <c r="V28" s="731"/>
    </row>
    <row r="29" spans="2:22" s="62" customFormat="1" ht="27" customHeight="1" x14ac:dyDescent="0.25">
      <c r="B29" s="59"/>
      <c r="C29" s="39"/>
      <c r="D29" s="140" t="s">
        <v>19</v>
      </c>
      <c r="E29" s="1618" t="s">
        <v>44</v>
      </c>
      <c r="F29" s="1619"/>
      <c r="G29" s="1620"/>
      <c r="H29" s="1162" t="s">
        <v>45</v>
      </c>
      <c r="I29" s="746">
        <v>1</v>
      </c>
      <c r="J29" s="660">
        <f>SUM(J30:J32)</f>
        <v>210000000</v>
      </c>
      <c r="K29" s="660">
        <f>SUM(K30:K32)</f>
        <v>210000000</v>
      </c>
      <c r="L29" s="660">
        <f>SUM(L30:L32)</f>
        <v>210000000</v>
      </c>
      <c r="M29" s="60">
        <f>SUM(M30:M32)</f>
        <v>210000000</v>
      </c>
      <c r="N29" s="61"/>
      <c r="O29" s="61"/>
      <c r="P29" s="61"/>
      <c r="Q29" s="747"/>
      <c r="R29" s="489"/>
      <c r="S29" s="63"/>
      <c r="T29" s="731"/>
      <c r="U29" s="731"/>
      <c r="V29" s="731"/>
    </row>
    <row r="30" spans="2:22" s="62" customFormat="1" ht="17.25" customHeight="1" x14ac:dyDescent="0.25">
      <c r="B30" s="59"/>
      <c r="C30" s="39"/>
      <c r="D30" s="140"/>
      <c r="E30" s="838" t="s">
        <v>46</v>
      </c>
      <c r="F30" s="1616" t="s">
        <v>47</v>
      </c>
      <c r="G30" s="1617"/>
      <c r="H30" s="1160" t="s">
        <v>48</v>
      </c>
      <c r="I30" s="137"/>
      <c r="J30" s="616">
        <v>200000000</v>
      </c>
      <c r="K30" s="616">
        <v>200000000</v>
      </c>
      <c r="L30" s="616">
        <v>200000000</v>
      </c>
      <c r="M30" s="66">
        <v>200000000</v>
      </c>
      <c r="N30" s="67"/>
      <c r="O30" s="67"/>
      <c r="P30" s="67"/>
      <c r="Q30" s="519"/>
      <c r="R30" s="490"/>
      <c r="S30" s="63"/>
      <c r="T30" s="731"/>
      <c r="U30" s="731"/>
      <c r="V30" s="731"/>
    </row>
    <row r="31" spans="2:22" s="62" customFormat="1" ht="23.25" customHeight="1" x14ac:dyDescent="0.25">
      <c r="B31" s="59"/>
      <c r="C31" s="39"/>
      <c r="D31" s="140"/>
      <c r="E31" s="838" t="s">
        <v>46</v>
      </c>
      <c r="F31" s="1616" t="s">
        <v>49</v>
      </c>
      <c r="G31" s="1617"/>
      <c r="H31" s="1160" t="s">
        <v>50</v>
      </c>
      <c r="I31" s="137"/>
      <c r="J31" s="616">
        <v>10000000</v>
      </c>
      <c r="K31" s="616">
        <v>10000000</v>
      </c>
      <c r="L31" s="616">
        <v>10000000</v>
      </c>
      <c r="M31" s="66">
        <v>10000000</v>
      </c>
      <c r="N31" s="67"/>
      <c r="O31" s="67"/>
      <c r="P31" s="67"/>
      <c r="Q31" s="519"/>
      <c r="R31" s="490"/>
      <c r="S31" s="63"/>
      <c r="T31" s="731"/>
      <c r="U31" s="731"/>
      <c r="V31" s="731"/>
    </row>
    <row r="32" spans="2:22" s="62" customFormat="1" ht="14.25" hidden="1" customHeight="1" x14ac:dyDescent="0.25">
      <c r="B32" s="59"/>
      <c r="C32" s="39"/>
      <c r="D32" s="140"/>
      <c r="E32" s="838" t="s">
        <v>46</v>
      </c>
      <c r="F32" s="1616" t="s">
        <v>482</v>
      </c>
      <c r="G32" s="1617"/>
      <c r="H32" s="1160" t="s">
        <v>483</v>
      </c>
      <c r="I32" s="137"/>
      <c r="J32" s="616"/>
      <c r="K32" s="616"/>
      <c r="L32" s="616"/>
      <c r="M32" s="66"/>
      <c r="N32" s="67"/>
      <c r="O32" s="67"/>
      <c r="P32" s="67"/>
      <c r="Q32" s="519"/>
      <c r="R32" s="490"/>
      <c r="S32" s="63"/>
      <c r="T32" s="731"/>
      <c r="U32" s="731"/>
      <c r="V32" s="731"/>
    </row>
    <row r="33" spans="2:22" s="62" customFormat="1" ht="26.25" customHeight="1" x14ac:dyDescent="0.25">
      <c r="B33" s="59"/>
      <c r="C33" s="39"/>
      <c r="D33" s="140" t="s">
        <v>27</v>
      </c>
      <c r="E33" s="1618" t="s">
        <v>51</v>
      </c>
      <c r="F33" s="1619"/>
      <c r="G33" s="1620"/>
      <c r="H33" s="1163" t="s">
        <v>53</v>
      </c>
      <c r="I33" s="746">
        <v>1</v>
      </c>
      <c r="J33" s="617">
        <f>SUM(J34:J35)</f>
        <v>950000000</v>
      </c>
      <c r="K33" s="617">
        <f>SUM(K34:K35)</f>
        <v>950000000</v>
      </c>
      <c r="L33" s="617">
        <f>SUM(L34:L35)</f>
        <v>950000000</v>
      </c>
      <c r="M33" s="71">
        <f>SUM(M34:M35)</f>
        <v>950000000</v>
      </c>
      <c r="N33" s="61"/>
      <c r="O33" s="61"/>
      <c r="P33" s="61"/>
      <c r="Q33" s="747"/>
      <c r="R33" s="489"/>
      <c r="S33" s="63"/>
      <c r="T33" s="731"/>
      <c r="U33" s="731"/>
      <c r="V33" s="731"/>
    </row>
    <row r="34" spans="2:22" s="62" customFormat="1" ht="18" customHeight="1" x14ac:dyDescent="0.25">
      <c r="B34" s="59"/>
      <c r="C34" s="39"/>
      <c r="D34" s="140"/>
      <c r="E34" s="838" t="s">
        <v>46</v>
      </c>
      <c r="F34" s="1616" t="s">
        <v>52</v>
      </c>
      <c r="G34" s="1617"/>
      <c r="H34" s="1160" t="s">
        <v>53</v>
      </c>
      <c r="I34" s="841"/>
      <c r="J34" s="618">
        <v>915000000</v>
      </c>
      <c r="K34" s="618">
        <v>915000000</v>
      </c>
      <c r="L34" s="618">
        <v>915000000</v>
      </c>
      <c r="M34" s="73">
        <v>915000000</v>
      </c>
      <c r="N34" s="67"/>
      <c r="O34" s="67"/>
      <c r="P34" s="67"/>
      <c r="Q34" s="842"/>
      <c r="R34" s="490"/>
      <c r="S34" s="63"/>
      <c r="T34" s="731"/>
      <c r="U34" s="731"/>
      <c r="V34" s="731"/>
    </row>
    <row r="35" spans="2:22" s="62" customFormat="1" ht="21.75" customHeight="1" x14ac:dyDescent="0.25">
      <c r="B35" s="59"/>
      <c r="C35" s="39"/>
      <c r="D35" s="140"/>
      <c r="E35" s="838" t="s">
        <v>46</v>
      </c>
      <c r="F35" s="1616" t="s">
        <v>54</v>
      </c>
      <c r="G35" s="1617"/>
      <c r="H35" s="1160" t="s">
        <v>55</v>
      </c>
      <c r="I35" s="137"/>
      <c r="J35" s="618">
        <v>35000000</v>
      </c>
      <c r="K35" s="618">
        <v>35000000</v>
      </c>
      <c r="L35" s="618">
        <v>35000000</v>
      </c>
      <c r="M35" s="73">
        <v>35000000</v>
      </c>
      <c r="N35" s="67"/>
      <c r="O35" s="67"/>
      <c r="P35" s="67"/>
      <c r="Q35" s="519"/>
      <c r="R35" s="490"/>
      <c r="S35" s="63"/>
      <c r="T35" s="731"/>
      <c r="U35" s="731"/>
      <c r="V35" s="731"/>
    </row>
    <row r="36" spans="2:22" s="62" customFormat="1" ht="21" customHeight="1" x14ac:dyDescent="0.25">
      <c r="B36" s="59"/>
      <c r="C36" s="39"/>
      <c r="D36" s="140" t="s">
        <v>30</v>
      </c>
      <c r="E36" s="1621" t="s">
        <v>56</v>
      </c>
      <c r="F36" s="1621"/>
      <c r="G36" s="1621"/>
      <c r="H36" s="1164" t="s">
        <v>57</v>
      </c>
      <c r="I36" s="746">
        <v>1</v>
      </c>
      <c r="J36" s="612">
        <v>150000000</v>
      </c>
      <c r="K36" s="612">
        <v>150000000</v>
      </c>
      <c r="L36" s="612">
        <v>150000000</v>
      </c>
      <c r="M36" s="47">
        <v>150000000</v>
      </c>
      <c r="N36" s="44"/>
      <c r="O36" s="44"/>
      <c r="P36" s="44"/>
      <c r="Q36" s="747"/>
      <c r="R36" s="488"/>
      <c r="T36" s="731"/>
      <c r="U36" s="731"/>
      <c r="V36" s="731"/>
    </row>
    <row r="37" spans="2:22" s="62" customFormat="1" ht="21" customHeight="1" x14ac:dyDescent="0.25">
      <c r="B37" s="59"/>
      <c r="C37" s="39"/>
      <c r="D37" s="140" t="s">
        <v>8</v>
      </c>
      <c r="E37" s="1621" t="s">
        <v>58</v>
      </c>
      <c r="F37" s="1621"/>
      <c r="G37" s="1621"/>
      <c r="H37" s="1161" t="s">
        <v>34</v>
      </c>
      <c r="I37" s="746">
        <v>1</v>
      </c>
      <c r="J37" s="612">
        <v>164000000</v>
      </c>
      <c r="K37" s="612">
        <v>164000000</v>
      </c>
      <c r="L37" s="612">
        <v>164000000</v>
      </c>
      <c r="M37" s="47">
        <v>164000000</v>
      </c>
      <c r="N37" s="44"/>
      <c r="O37" s="44"/>
      <c r="P37" s="44"/>
      <c r="Q37" s="747"/>
      <c r="R37" s="488"/>
      <c r="T37" s="731"/>
      <c r="U37" s="731"/>
      <c r="V37" s="731"/>
    </row>
    <row r="38" spans="2:22" s="229" customFormat="1" ht="19.5" customHeight="1" x14ac:dyDescent="0.25">
      <c r="B38" s="59"/>
      <c r="C38" s="39"/>
      <c r="D38" s="140" t="s">
        <v>22</v>
      </c>
      <c r="E38" s="1608" t="s">
        <v>33</v>
      </c>
      <c r="F38" s="1609"/>
      <c r="G38" s="1610"/>
      <c r="H38" s="1165" t="s">
        <v>498</v>
      </c>
      <c r="I38" s="81">
        <v>1</v>
      </c>
      <c r="J38" s="613">
        <f>200000000+900000000</f>
        <v>1100000000</v>
      </c>
      <c r="K38" s="613">
        <f>200000000+900000000</f>
        <v>1100000000</v>
      </c>
      <c r="L38" s="613">
        <f>200000000+900000000</f>
        <v>1100000000</v>
      </c>
      <c r="M38" s="52">
        <f>200000000+900000000</f>
        <v>1100000000</v>
      </c>
      <c r="N38" s="44"/>
      <c r="O38" s="44"/>
      <c r="P38" s="44"/>
      <c r="Q38" s="549"/>
      <c r="R38" s="488"/>
      <c r="T38" s="925"/>
      <c r="U38" s="925"/>
      <c r="V38" s="925"/>
    </row>
    <row r="39" spans="2:22" s="62" customFormat="1" ht="3.75" customHeight="1" x14ac:dyDescent="0.25">
      <c r="B39" s="59"/>
      <c r="C39" s="766"/>
      <c r="D39" s="759"/>
      <c r="E39" s="851"/>
      <c r="F39" s="1611"/>
      <c r="G39" s="1612"/>
      <c r="H39" s="846"/>
      <c r="I39" s="847"/>
      <c r="J39" s="611"/>
      <c r="K39" s="611"/>
      <c r="L39" s="611"/>
      <c r="M39" s="43"/>
      <c r="N39" s="44"/>
      <c r="O39" s="44"/>
      <c r="P39" s="44"/>
      <c r="Q39" s="852"/>
      <c r="R39" s="488"/>
      <c r="T39" s="731"/>
      <c r="U39" s="731"/>
      <c r="V39" s="731"/>
    </row>
    <row r="40" spans="2:22" s="15" customFormat="1" ht="23.25" customHeight="1" x14ac:dyDescent="0.25">
      <c r="B40" s="13"/>
      <c r="C40" s="34" t="s">
        <v>435</v>
      </c>
      <c r="D40" s="1599" t="s">
        <v>59</v>
      </c>
      <c r="E40" s="1600"/>
      <c r="F40" s="1600"/>
      <c r="G40" s="1601"/>
      <c r="H40" s="35" t="s">
        <v>60</v>
      </c>
      <c r="I40" s="36"/>
      <c r="J40" s="610">
        <f>SUM(J41)</f>
        <v>329692000</v>
      </c>
      <c r="K40" s="610">
        <f>SUM(K41)</f>
        <v>329692000</v>
      </c>
      <c r="L40" s="610">
        <f>SUM(L41)</f>
        <v>329692000</v>
      </c>
      <c r="M40" s="37">
        <f>SUM(M41)</f>
        <v>329692000</v>
      </c>
      <c r="N40" s="991"/>
      <c r="O40" s="991"/>
      <c r="P40" s="38"/>
      <c r="Q40" s="547"/>
      <c r="R40" s="487"/>
      <c r="T40" s="21"/>
      <c r="U40" s="21"/>
      <c r="V40" s="21"/>
    </row>
    <row r="41" spans="2:22" s="29" customFormat="1" ht="19.5" customHeight="1" x14ac:dyDescent="0.25">
      <c r="B41" s="13"/>
      <c r="C41" s="76"/>
      <c r="D41" s="77" t="s">
        <v>5</v>
      </c>
      <c r="E41" s="1602" t="s">
        <v>61</v>
      </c>
      <c r="F41" s="1603"/>
      <c r="G41" s="1604"/>
      <c r="H41" s="50" t="s">
        <v>62</v>
      </c>
      <c r="I41" s="51">
        <v>1</v>
      </c>
      <c r="J41" s="613">
        <f>347700000-18008000</f>
        <v>329692000</v>
      </c>
      <c r="K41" s="613">
        <f>347700000-18008000</f>
        <v>329692000</v>
      </c>
      <c r="L41" s="613">
        <f>347700000-18008000</f>
        <v>329692000</v>
      </c>
      <c r="M41" s="52">
        <f>347700000-18008000</f>
        <v>329692000</v>
      </c>
      <c r="N41" s="44"/>
      <c r="O41" s="44"/>
      <c r="P41" s="44"/>
      <c r="Q41" s="545"/>
      <c r="R41" s="488"/>
      <c r="T41" s="396"/>
      <c r="U41" s="396"/>
      <c r="V41" s="396"/>
    </row>
    <row r="42" spans="2:22" s="29" customFormat="1" ht="3.75" customHeight="1" x14ac:dyDescent="0.25">
      <c r="B42" s="13"/>
      <c r="C42" s="91"/>
      <c r="D42" s="92"/>
      <c r="E42" s="1613"/>
      <c r="F42" s="1614"/>
      <c r="G42" s="1615"/>
      <c r="H42" s="93"/>
      <c r="I42" s="470"/>
      <c r="J42" s="619"/>
      <c r="K42" s="619"/>
      <c r="L42" s="619"/>
      <c r="M42" s="94"/>
      <c r="N42" s="992"/>
      <c r="O42" s="992"/>
      <c r="P42" s="44"/>
      <c r="Q42" s="548"/>
      <c r="R42" s="488"/>
      <c r="T42" s="396"/>
      <c r="U42" s="396"/>
      <c r="V42" s="396"/>
    </row>
    <row r="43" spans="2:22" s="15" customFormat="1" ht="22.5" customHeight="1" x14ac:dyDescent="0.25">
      <c r="B43" s="13"/>
      <c r="C43" s="34" t="s">
        <v>436</v>
      </c>
      <c r="D43" s="1599" t="s">
        <v>63</v>
      </c>
      <c r="E43" s="1600"/>
      <c r="F43" s="1600"/>
      <c r="G43" s="1601"/>
      <c r="H43" s="35" t="s">
        <v>64</v>
      </c>
      <c r="I43" s="36"/>
      <c r="J43" s="610">
        <f>J44</f>
        <v>250000000</v>
      </c>
      <c r="K43" s="610">
        <f>K44</f>
        <v>250000000</v>
      </c>
      <c r="L43" s="610">
        <f>L44</f>
        <v>250000000</v>
      </c>
      <c r="M43" s="37">
        <f>M44</f>
        <v>250000000</v>
      </c>
      <c r="N43" s="991"/>
      <c r="O43" s="991"/>
      <c r="P43" s="38"/>
      <c r="Q43" s="547"/>
      <c r="R43" s="487"/>
      <c r="T43" s="21"/>
      <c r="U43" s="21"/>
      <c r="V43" s="21"/>
    </row>
    <row r="44" spans="2:22" s="82" customFormat="1" ht="24" customHeight="1" x14ac:dyDescent="0.25">
      <c r="B44" s="59"/>
      <c r="C44" s="78"/>
      <c r="D44" s="79" t="s">
        <v>5</v>
      </c>
      <c r="E44" s="1593" t="s">
        <v>65</v>
      </c>
      <c r="F44" s="1594"/>
      <c r="G44" s="1595"/>
      <c r="H44" s="1166" t="s">
        <v>66</v>
      </c>
      <c r="I44" s="81">
        <v>1</v>
      </c>
      <c r="J44" s="613">
        <f>300000000-50000000</f>
        <v>250000000</v>
      </c>
      <c r="K44" s="613">
        <f>300000000-50000000</f>
        <v>250000000</v>
      </c>
      <c r="L44" s="613">
        <f>300000000-50000000</f>
        <v>250000000</v>
      </c>
      <c r="M44" s="52">
        <f>300000000-50000000</f>
        <v>250000000</v>
      </c>
      <c r="N44" s="44"/>
      <c r="O44" s="44"/>
      <c r="P44" s="44"/>
      <c r="Q44" s="549"/>
      <c r="R44" s="488"/>
      <c r="T44" s="155"/>
      <c r="U44" s="155"/>
      <c r="V44" s="155"/>
    </row>
    <row r="45" spans="2:22" s="15" customFormat="1" ht="3" customHeight="1" x14ac:dyDescent="0.25">
      <c r="B45" s="13"/>
      <c r="C45" s="83"/>
      <c r="D45" s="84"/>
      <c r="E45" s="1596"/>
      <c r="F45" s="1597"/>
      <c r="G45" s="1598"/>
      <c r="H45" s="41"/>
      <c r="I45" s="57"/>
      <c r="J45" s="614"/>
      <c r="K45" s="614"/>
      <c r="L45" s="614"/>
      <c r="M45" s="58"/>
      <c r="N45" s="992"/>
      <c r="O45" s="992"/>
      <c r="P45" s="44"/>
      <c r="Q45" s="546"/>
      <c r="R45" s="488"/>
      <c r="T45" s="21"/>
      <c r="U45" s="21"/>
      <c r="V45" s="21"/>
    </row>
    <row r="46" spans="2:22" s="15" customFormat="1" ht="33" customHeight="1" x14ac:dyDescent="0.25">
      <c r="B46" s="13"/>
      <c r="C46" s="34" t="s">
        <v>437</v>
      </c>
      <c r="D46" s="1599" t="s">
        <v>67</v>
      </c>
      <c r="E46" s="1600"/>
      <c r="F46" s="1600"/>
      <c r="G46" s="1601"/>
      <c r="H46" s="35" t="s">
        <v>68</v>
      </c>
      <c r="I46" s="36"/>
      <c r="J46" s="610">
        <f>SUM(J47:J50)</f>
        <v>1472000000</v>
      </c>
      <c r="K46" s="610">
        <f>SUM(K47:K50)</f>
        <v>1472000000</v>
      </c>
      <c r="L46" s="610">
        <f>SUM(L47:L50)</f>
        <v>1472000000</v>
      </c>
      <c r="M46" s="37">
        <f>SUM(M47:M50)</f>
        <v>1422000000</v>
      </c>
      <c r="N46" s="991"/>
      <c r="O46" s="991"/>
      <c r="P46" s="38"/>
      <c r="Q46" s="547"/>
      <c r="R46" s="487"/>
      <c r="T46" s="21"/>
      <c r="U46" s="21"/>
      <c r="V46" s="21"/>
    </row>
    <row r="47" spans="2:22" s="29" customFormat="1" ht="17.25" customHeight="1" x14ac:dyDescent="0.25">
      <c r="B47" s="13"/>
      <c r="C47" s="54"/>
      <c r="D47" s="55" t="s">
        <v>5</v>
      </c>
      <c r="E47" s="1602" t="s">
        <v>69</v>
      </c>
      <c r="F47" s="1603"/>
      <c r="G47" s="1604"/>
      <c r="H47" s="41" t="s">
        <v>466</v>
      </c>
      <c r="I47" s="85">
        <v>1</v>
      </c>
      <c r="J47" s="611">
        <v>300000000</v>
      </c>
      <c r="K47" s="611">
        <f>300000000</f>
        <v>300000000</v>
      </c>
      <c r="L47" s="611">
        <v>300000000</v>
      </c>
      <c r="M47" s="43">
        <f>300000000-50000000</f>
        <v>250000000</v>
      </c>
      <c r="N47" s="992"/>
      <c r="O47" s="992"/>
      <c r="P47" s="44"/>
      <c r="Q47" s="550"/>
      <c r="R47" s="488"/>
      <c r="T47" s="396"/>
      <c r="U47" s="396"/>
      <c r="V47" s="396"/>
    </row>
    <row r="48" spans="2:22" s="29" customFormat="1" ht="17.25" customHeight="1" x14ac:dyDescent="0.25">
      <c r="B48" s="13"/>
      <c r="C48" s="54"/>
      <c r="D48" s="55" t="s">
        <v>10</v>
      </c>
      <c r="E48" s="1584" t="s">
        <v>70</v>
      </c>
      <c r="F48" s="1585"/>
      <c r="G48" s="1586"/>
      <c r="H48" s="46" t="s">
        <v>71</v>
      </c>
      <c r="I48" s="42">
        <v>1</v>
      </c>
      <c r="J48" s="620">
        <v>350000000</v>
      </c>
      <c r="K48" s="620">
        <v>350000000</v>
      </c>
      <c r="L48" s="620">
        <v>350000000</v>
      </c>
      <c r="M48" s="86">
        <v>350000000</v>
      </c>
      <c r="N48" s="992"/>
      <c r="O48" s="992"/>
      <c r="P48" s="44"/>
      <c r="Q48" s="551"/>
      <c r="R48" s="488"/>
      <c r="T48" s="396"/>
      <c r="U48" s="396"/>
      <c r="V48" s="396"/>
    </row>
    <row r="49" spans="2:22" s="29" customFormat="1" ht="17.25" customHeight="1" x14ac:dyDescent="0.25">
      <c r="B49" s="13"/>
      <c r="C49" s="87"/>
      <c r="D49" s="88" t="s">
        <v>13</v>
      </c>
      <c r="E49" s="1605" t="s">
        <v>72</v>
      </c>
      <c r="F49" s="1606"/>
      <c r="G49" s="1607"/>
      <c r="H49" s="46" t="s">
        <v>73</v>
      </c>
      <c r="I49" s="42">
        <v>1</v>
      </c>
      <c r="J49" s="612">
        <f>722000000</f>
        <v>722000000</v>
      </c>
      <c r="K49" s="612">
        <f>722000000</f>
        <v>722000000</v>
      </c>
      <c r="L49" s="612">
        <f>722000000</f>
        <v>722000000</v>
      </c>
      <c r="M49" s="47">
        <f>722000000</f>
        <v>722000000</v>
      </c>
      <c r="N49" s="44"/>
      <c r="O49" s="44"/>
      <c r="P49" s="44"/>
      <c r="Q49" s="551"/>
      <c r="R49" s="488"/>
      <c r="T49" s="396"/>
      <c r="U49" s="396"/>
      <c r="V49" s="396"/>
    </row>
    <row r="50" spans="2:22" s="29" customFormat="1" ht="20.25" customHeight="1" x14ac:dyDescent="0.25">
      <c r="B50" s="13"/>
      <c r="C50" s="76"/>
      <c r="D50" s="89" t="s">
        <v>16</v>
      </c>
      <c r="E50" s="1584" t="s">
        <v>74</v>
      </c>
      <c r="F50" s="1585"/>
      <c r="G50" s="1586"/>
      <c r="H50" s="1167" t="s">
        <v>467</v>
      </c>
      <c r="I50" s="51">
        <v>1</v>
      </c>
      <c r="J50" s="621">
        <v>100000000</v>
      </c>
      <c r="K50" s="621">
        <v>100000000</v>
      </c>
      <c r="L50" s="621">
        <v>100000000</v>
      </c>
      <c r="M50" s="90">
        <v>100000000</v>
      </c>
      <c r="N50" s="992"/>
      <c r="O50" s="992"/>
      <c r="P50" s="44"/>
      <c r="Q50" s="545"/>
      <c r="R50" s="488"/>
      <c r="T50" s="396"/>
      <c r="U50" s="396"/>
      <c r="V50" s="396"/>
    </row>
    <row r="51" spans="2:22" ht="3.75" customHeight="1" x14ac:dyDescent="0.25">
      <c r="C51" s="95"/>
      <c r="D51" s="96"/>
      <c r="E51" s="1434"/>
      <c r="F51" s="97"/>
      <c r="G51" s="1435"/>
      <c r="H51" s="98"/>
      <c r="I51" s="99"/>
      <c r="J51" s="622"/>
      <c r="K51" s="622"/>
      <c r="L51" s="622"/>
      <c r="M51" s="100"/>
      <c r="N51" s="993"/>
      <c r="O51" s="993"/>
      <c r="P51" s="101"/>
      <c r="Q51" s="552"/>
      <c r="R51" s="491"/>
    </row>
    <row r="52" spans="2:22" s="15" customFormat="1" ht="30" customHeight="1" x14ac:dyDescent="0.25">
      <c r="B52" s="13"/>
      <c r="C52" s="102"/>
      <c r="D52" s="1587" t="s">
        <v>75</v>
      </c>
      <c r="E52" s="1588"/>
      <c r="F52" s="1588"/>
      <c r="G52" s="1588"/>
      <c r="H52" s="1588"/>
      <c r="I52" s="1589"/>
      <c r="J52" s="623">
        <f>J53+J143+J169+J174+J182+J223+J227+J231+J238+J254+J260</f>
        <v>312375410542</v>
      </c>
      <c r="K52" s="623">
        <f>K53+K143+K169+K174+K182+K223+K227+K231+K238+K254+K260</f>
        <v>333875410542</v>
      </c>
      <c r="L52" s="623">
        <f>L53+L143+L169+L174+L182+L223+L227+L231+L238+L254+L260</f>
        <v>312375410542</v>
      </c>
      <c r="M52" s="103">
        <f>M53+M143+M169+M174+M182+M223+M227+M231+M238+M254+M260</f>
        <v>436937410542</v>
      </c>
      <c r="N52" s="994"/>
      <c r="O52" s="994"/>
      <c r="P52" s="104"/>
      <c r="Q52" s="593"/>
      <c r="R52" s="14"/>
      <c r="T52" s="21"/>
      <c r="U52" s="21"/>
      <c r="V52" s="21"/>
    </row>
    <row r="53" spans="2:22" s="15" customFormat="1" ht="32.25" customHeight="1" x14ac:dyDescent="0.25">
      <c r="B53" s="13"/>
      <c r="C53" s="1506" t="s">
        <v>438</v>
      </c>
      <c r="D53" s="1507"/>
      <c r="E53" s="1590" t="s">
        <v>76</v>
      </c>
      <c r="F53" s="1591"/>
      <c r="G53" s="1592"/>
      <c r="H53" s="105" t="s">
        <v>77</v>
      </c>
      <c r="I53" s="106"/>
      <c r="J53" s="624">
        <f>J54+J55+J59+J63+J66+J67+J68+J69+J91+J93+J97+J102+J112+J115+J120+J126+J128+J130+J132+J137</f>
        <v>175815000000</v>
      </c>
      <c r="K53" s="624">
        <f>K54+K55+K59+K63+K66+K67+K68+K69+K91+K93+K97+K102+K112+K115+K120+K126+K128+K130+K132+K137</f>
        <v>197315000000</v>
      </c>
      <c r="L53" s="624">
        <f>L54+L55+L59+L63+L66+L67+L68+L69+L91+L93+L97+L102+L112+L115+L120+L126+L128+L130+L132+L137</f>
        <v>179015000000</v>
      </c>
      <c r="M53" s="107">
        <f>M54+M55+M59+M63+M66+M67+M68+M69+M91+M93+M97+M102+M112+M115+M120+M126+M128+M130+M132+M137+M76</f>
        <v>215035487571</v>
      </c>
      <c r="N53" s="995"/>
      <c r="O53" s="995"/>
      <c r="P53" s="108"/>
      <c r="Q53" s="515"/>
      <c r="R53" s="108"/>
      <c r="S53" s="16">
        <v>1100000000</v>
      </c>
      <c r="T53" s="21">
        <v>172915000000</v>
      </c>
      <c r="U53" s="21"/>
      <c r="V53" s="21"/>
    </row>
    <row r="54" spans="2:22" s="113" customFormat="1" ht="25.5" customHeight="1" x14ac:dyDescent="0.25">
      <c r="B54" s="59"/>
      <c r="C54" s="114"/>
      <c r="D54" s="447"/>
      <c r="E54" s="88" t="s">
        <v>5</v>
      </c>
      <c r="F54" s="1579" t="s">
        <v>78</v>
      </c>
      <c r="G54" s="1580"/>
      <c r="H54" s="1168" t="s">
        <v>79</v>
      </c>
      <c r="I54" s="110">
        <v>1</v>
      </c>
      <c r="J54" s="625">
        <f>550000000+200000000</f>
        <v>750000000</v>
      </c>
      <c r="K54" s="625">
        <f>550000000+200000000</f>
        <v>750000000</v>
      </c>
      <c r="L54" s="625">
        <f>550000000+200000000</f>
        <v>750000000</v>
      </c>
      <c r="M54" s="111">
        <f>550000000+200000000+50000000</f>
        <v>800000000</v>
      </c>
      <c r="N54" s="112"/>
      <c r="O54" s="112"/>
      <c r="P54" s="112"/>
      <c r="Q54" s="553"/>
      <c r="R54" s="112"/>
      <c r="T54" s="926"/>
      <c r="U54" s="926"/>
      <c r="V54" s="926"/>
    </row>
    <row r="55" spans="2:22" s="113" customFormat="1" ht="19.5" customHeight="1" x14ac:dyDescent="0.25">
      <c r="B55" s="59"/>
      <c r="C55" s="39"/>
      <c r="D55" s="109"/>
      <c r="E55" s="450" t="s">
        <v>10</v>
      </c>
      <c r="F55" s="1577" t="s">
        <v>80</v>
      </c>
      <c r="G55" s="1578"/>
      <c r="H55" s="173" t="s">
        <v>411</v>
      </c>
      <c r="I55" s="445" t="s">
        <v>535</v>
      </c>
      <c r="J55" s="626">
        <f>SUM(J56:J58)</f>
        <v>850000000</v>
      </c>
      <c r="K55" s="626">
        <f t="shared" ref="K55:M55" si="0">SUM(K56:K58)</f>
        <v>1350000000</v>
      </c>
      <c r="L55" s="626">
        <f t="shared" si="0"/>
        <v>850000000</v>
      </c>
      <c r="M55" s="117">
        <f t="shared" si="0"/>
        <v>1350000000</v>
      </c>
      <c r="N55" s="118"/>
      <c r="O55" s="118"/>
      <c r="P55" s="118"/>
      <c r="Q55" s="554"/>
      <c r="R55" s="118"/>
      <c r="T55" s="926"/>
      <c r="U55" s="926"/>
      <c r="V55" s="926"/>
    </row>
    <row r="56" spans="2:22" s="113" customFormat="1" x14ac:dyDescent="0.25">
      <c r="B56" s="59"/>
      <c r="C56" s="119"/>
      <c r="D56" s="120"/>
      <c r="E56" s="121"/>
      <c r="F56" s="122" t="s">
        <v>46</v>
      </c>
      <c r="G56" s="123" t="s">
        <v>81</v>
      </c>
      <c r="H56" s="601"/>
      <c r="I56" s="124" t="s">
        <v>86</v>
      </c>
      <c r="J56" s="627">
        <v>500000000</v>
      </c>
      <c r="K56" s="627">
        <v>500000000</v>
      </c>
      <c r="L56" s="627">
        <v>500000000</v>
      </c>
      <c r="M56" s="125">
        <v>500000000</v>
      </c>
      <c r="N56" s="126"/>
      <c r="O56" s="126"/>
      <c r="P56" s="126"/>
      <c r="Q56" s="555"/>
      <c r="R56" s="126"/>
      <c r="T56" s="926"/>
      <c r="U56" s="926"/>
      <c r="V56" s="926"/>
    </row>
    <row r="57" spans="2:22" s="113" customFormat="1" x14ac:dyDescent="0.25">
      <c r="B57" s="59"/>
      <c r="C57" s="119"/>
      <c r="D57" s="120"/>
      <c r="E57" s="121"/>
      <c r="F57" s="122" t="s">
        <v>46</v>
      </c>
      <c r="G57" s="123" t="s">
        <v>82</v>
      </c>
      <c r="H57" s="601"/>
      <c r="I57" s="124" t="s">
        <v>86</v>
      </c>
      <c r="J57" s="627">
        <v>350000000</v>
      </c>
      <c r="K57" s="627">
        <v>350000000</v>
      </c>
      <c r="L57" s="627">
        <v>350000000</v>
      </c>
      <c r="M57" s="125">
        <v>350000000</v>
      </c>
      <c r="N57" s="126"/>
      <c r="O57" s="126"/>
      <c r="P57" s="126"/>
      <c r="Q57" s="555"/>
      <c r="R57" s="126"/>
      <c r="T57" s="926"/>
      <c r="U57" s="926"/>
      <c r="V57" s="926"/>
    </row>
    <row r="58" spans="2:22" s="113" customFormat="1" x14ac:dyDescent="0.25">
      <c r="B58" s="59"/>
      <c r="C58" s="119"/>
      <c r="D58" s="120"/>
      <c r="E58" s="121"/>
      <c r="F58" s="122" t="s">
        <v>46</v>
      </c>
      <c r="G58" s="1437" t="s">
        <v>518</v>
      </c>
      <c r="H58" s="601"/>
      <c r="I58" s="124" t="s">
        <v>86</v>
      </c>
      <c r="J58" s="627">
        <v>0</v>
      </c>
      <c r="K58" s="1138">
        <f>500000000</f>
        <v>500000000</v>
      </c>
      <c r="L58" s="627">
        <v>0</v>
      </c>
      <c r="M58" s="125">
        <v>500000000</v>
      </c>
      <c r="N58" s="126"/>
      <c r="O58" s="126"/>
      <c r="P58" s="126"/>
      <c r="Q58" s="555"/>
      <c r="R58" s="126"/>
      <c r="T58" s="926"/>
      <c r="U58" s="926"/>
      <c r="V58" s="926"/>
    </row>
    <row r="59" spans="2:22" s="113" customFormat="1" ht="21" customHeight="1" x14ac:dyDescent="0.25">
      <c r="B59" s="59"/>
      <c r="C59" s="39"/>
      <c r="D59" s="109"/>
      <c r="E59" s="449" t="s">
        <v>13</v>
      </c>
      <c r="F59" s="1581" t="s">
        <v>83</v>
      </c>
      <c r="G59" s="1581"/>
      <c r="H59" s="469" t="s">
        <v>412</v>
      </c>
      <c r="I59" s="444" t="s">
        <v>430</v>
      </c>
      <c r="J59" s="626">
        <f>SUM(J60:J61)</f>
        <v>400000000</v>
      </c>
      <c r="K59" s="626">
        <f>SUM(K60:K61)</f>
        <v>400000000</v>
      </c>
      <c r="L59" s="626">
        <f>SUM(L60:L61)</f>
        <v>400000000</v>
      </c>
      <c r="M59" s="117">
        <f>SUM(M60:M61)</f>
        <v>400000000</v>
      </c>
      <c r="N59" s="118"/>
      <c r="O59" s="118"/>
      <c r="P59" s="118"/>
      <c r="Q59" s="556"/>
      <c r="R59" s="118"/>
      <c r="T59" s="926"/>
      <c r="U59" s="926"/>
      <c r="V59" s="926"/>
    </row>
    <row r="60" spans="2:22" s="113" customFormat="1" x14ac:dyDescent="0.25">
      <c r="B60" s="59"/>
      <c r="C60" s="127"/>
      <c r="D60" s="128"/>
      <c r="E60" s="129"/>
      <c r="F60" s="130" t="s">
        <v>46</v>
      </c>
      <c r="G60" s="131" t="s">
        <v>84</v>
      </c>
      <c r="H60" s="602"/>
      <c r="I60" s="116" t="s">
        <v>86</v>
      </c>
      <c r="J60" s="627">
        <v>200000000</v>
      </c>
      <c r="K60" s="627">
        <v>200000000</v>
      </c>
      <c r="L60" s="627">
        <v>200000000</v>
      </c>
      <c r="M60" s="125">
        <v>200000000</v>
      </c>
      <c r="N60" s="126"/>
      <c r="O60" s="126"/>
      <c r="P60" s="126"/>
      <c r="Q60" s="557"/>
      <c r="R60" s="126"/>
      <c r="T60" s="926"/>
      <c r="U60" s="926"/>
      <c r="V60" s="926"/>
    </row>
    <row r="61" spans="2:22" s="113" customFormat="1" ht="14.25" customHeight="1" x14ac:dyDescent="0.25">
      <c r="B61" s="59"/>
      <c r="C61" s="119"/>
      <c r="D61" s="120"/>
      <c r="E61" s="121"/>
      <c r="F61" s="122" t="s">
        <v>46</v>
      </c>
      <c r="G61" s="123" t="s">
        <v>85</v>
      </c>
      <c r="H61" s="601"/>
      <c r="I61" s="124" t="s">
        <v>86</v>
      </c>
      <c r="J61" s="627">
        <v>200000000</v>
      </c>
      <c r="K61" s="627">
        <v>200000000</v>
      </c>
      <c r="L61" s="627">
        <v>200000000</v>
      </c>
      <c r="M61" s="125">
        <v>200000000</v>
      </c>
      <c r="N61" s="126"/>
      <c r="O61" s="126"/>
      <c r="P61" s="126"/>
      <c r="Q61" s="555"/>
      <c r="R61" s="126"/>
      <c r="T61" s="926"/>
      <c r="U61" s="926"/>
      <c r="V61" s="926"/>
    </row>
    <row r="62" spans="2:22" s="82" customFormat="1" ht="20.25" hidden="1" customHeight="1" x14ac:dyDescent="0.25">
      <c r="B62" s="59"/>
      <c r="C62" s="39"/>
      <c r="D62" s="109"/>
      <c r="E62" s="88" t="s">
        <v>16</v>
      </c>
      <c r="F62" s="1582" t="s">
        <v>87</v>
      </c>
      <c r="G62" s="1583"/>
      <c r="H62" s="1436" t="s">
        <v>413</v>
      </c>
      <c r="I62" s="134">
        <v>1</v>
      </c>
      <c r="J62" s="628">
        <v>0</v>
      </c>
      <c r="K62" s="628">
        <v>0</v>
      </c>
      <c r="L62" s="628">
        <v>0</v>
      </c>
      <c r="M62" s="135">
        <v>0</v>
      </c>
      <c r="N62" s="108"/>
      <c r="O62" s="108"/>
      <c r="P62" s="108"/>
      <c r="Q62" s="558"/>
      <c r="R62" s="108"/>
      <c r="S62" s="136"/>
      <c r="T62" s="155"/>
      <c r="U62" s="155"/>
      <c r="V62" s="155"/>
    </row>
    <row r="63" spans="2:22" s="82" customFormat="1" ht="29.25" customHeight="1" x14ac:dyDescent="0.25">
      <c r="B63" s="59"/>
      <c r="C63" s="39"/>
      <c r="D63" s="109"/>
      <c r="E63" s="88" t="s">
        <v>19</v>
      </c>
      <c r="F63" s="1582" t="s">
        <v>88</v>
      </c>
      <c r="G63" s="1583"/>
      <c r="H63" s="469" t="s">
        <v>414</v>
      </c>
      <c r="I63" s="443" t="s">
        <v>430</v>
      </c>
      <c r="J63" s="626">
        <f>SUM(J64:J65)</f>
        <v>900000000</v>
      </c>
      <c r="K63" s="626">
        <f>SUM(K64:K65)</f>
        <v>900000000</v>
      </c>
      <c r="L63" s="626">
        <f>SUM(L64:L65)</f>
        <v>900000000</v>
      </c>
      <c r="M63" s="117">
        <f>SUM(M64:M65)</f>
        <v>900000000</v>
      </c>
      <c r="N63" s="118"/>
      <c r="O63" s="118"/>
      <c r="P63" s="118"/>
      <c r="Q63" s="559"/>
      <c r="R63" s="118"/>
      <c r="T63" s="155"/>
      <c r="U63" s="155"/>
      <c r="V63" s="155"/>
    </row>
    <row r="64" spans="2:22" s="113" customFormat="1" ht="15.75" customHeight="1" x14ac:dyDescent="0.25">
      <c r="B64" s="59"/>
      <c r="C64" s="119"/>
      <c r="D64" s="120"/>
      <c r="E64" s="121"/>
      <c r="F64" s="122" t="s">
        <v>46</v>
      </c>
      <c r="G64" s="138" t="s">
        <v>392</v>
      </c>
      <c r="H64" s="601"/>
      <c r="I64" s="137" t="s">
        <v>86</v>
      </c>
      <c r="J64" s="627">
        <v>600000000</v>
      </c>
      <c r="K64" s="627">
        <v>600000000</v>
      </c>
      <c r="L64" s="627">
        <v>600000000</v>
      </c>
      <c r="M64" s="125">
        <v>600000000</v>
      </c>
      <c r="N64" s="126"/>
      <c r="O64" s="126"/>
      <c r="P64" s="126"/>
      <c r="Q64" s="560"/>
      <c r="R64" s="126"/>
      <c r="T64" s="926"/>
      <c r="U64" s="926"/>
      <c r="V64" s="926"/>
    </row>
    <row r="65" spans="2:22" s="113" customFormat="1" ht="16.5" customHeight="1" x14ac:dyDescent="0.25">
      <c r="B65" s="59"/>
      <c r="C65" s="119"/>
      <c r="D65" s="120"/>
      <c r="E65" s="121"/>
      <c r="F65" s="122" t="s">
        <v>46</v>
      </c>
      <c r="G65" s="1169" t="s">
        <v>89</v>
      </c>
      <c r="H65" s="601"/>
      <c r="I65" s="137" t="s">
        <v>86</v>
      </c>
      <c r="J65" s="627">
        <v>300000000</v>
      </c>
      <c r="K65" s="627">
        <v>300000000</v>
      </c>
      <c r="L65" s="627">
        <v>300000000</v>
      </c>
      <c r="M65" s="125">
        <v>300000000</v>
      </c>
      <c r="N65" s="126"/>
      <c r="O65" s="126"/>
      <c r="P65" s="126"/>
      <c r="Q65" s="519"/>
      <c r="R65" s="126"/>
      <c r="T65" s="926"/>
      <c r="U65" s="926"/>
      <c r="V65" s="926"/>
    </row>
    <row r="66" spans="2:22" s="29" customFormat="1" ht="19.5" customHeight="1" x14ac:dyDescent="0.25">
      <c r="B66" s="13"/>
      <c r="C66" s="39"/>
      <c r="D66" s="140"/>
      <c r="E66" s="109" t="s">
        <v>27</v>
      </c>
      <c r="F66" s="1533" t="s">
        <v>90</v>
      </c>
      <c r="G66" s="1534"/>
      <c r="H66" s="172" t="s">
        <v>91</v>
      </c>
      <c r="I66" s="142" t="s">
        <v>92</v>
      </c>
      <c r="J66" s="629">
        <f>100000000</f>
        <v>100000000</v>
      </c>
      <c r="K66" s="629">
        <f>100000000</f>
        <v>100000000</v>
      </c>
      <c r="L66" s="629">
        <f>100000000</f>
        <v>100000000</v>
      </c>
      <c r="M66" s="143">
        <f>100000000</f>
        <v>100000000</v>
      </c>
      <c r="N66" s="144"/>
      <c r="O66" s="144"/>
      <c r="P66" s="144"/>
      <c r="Q66" s="520"/>
      <c r="R66" s="492"/>
      <c r="T66" s="396"/>
      <c r="U66" s="396"/>
      <c r="V66" s="396"/>
    </row>
    <row r="67" spans="2:22" s="62" customFormat="1" ht="19.5" customHeight="1" x14ac:dyDescent="0.25">
      <c r="B67" s="59"/>
      <c r="C67" s="39"/>
      <c r="D67" s="109"/>
      <c r="E67" s="88" t="s">
        <v>30</v>
      </c>
      <c r="F67" s="1582" t="s">
        <v>93</v>
      </c>
      <c r="G67" s="1583"/>
      <c r="H67" s="1436" t="s">
        <v>94</v>
      </c>
      <c r="I67" s="442" t="s">
        <v>481</v>
      </c>
      <c r="J67" s="630">
        <f>7200000000+4000000000</f>
        <v>11200000000</v>
      </c>
      <c r="K67" s="630">
        <f>7200000000+4000000000</f>
        <v>11200000000</v>
      </c>
      <c r="L67" s="630">
        <f>7200000000+4000000000</f>
        <v>11200000000</v>
      </c>
      <c r="M67" s="146">
        <f>7200000000+4000000000</f>
        <v>11200000000</v>
      </c>
      <c r="N67" s="147"/>
      <c r="O67" s="147"/>
      <c r="P67" s="147"/>
      <c r="Q67" s="521"/>
      <c r="R67" s="118"/>
      <c r="S67" s="148"/>
      <c r="T67" s="731"/>
      <c r="U67" s="731">
        <f>T67/800000</f>
        <v>0</v>
      </c>
      <c r="V67" s="731"/>
    </row>
    <row r="68" spans="2:22" s="113" customFormat="1" ht="19.5" customHeight="1" x14ac:dyDescent="0.25">
      <c r="B68" s="59"/>
      <c r="C68" s="39"/>
      <c r="D68" s="109"/>
      <c r="E68" s="88" t="s">
        <v>8</v>
      </c>
      <c r="F68" s="1582" t="s">
        <v>95</v>
      </c>
      <c r="G68" s="1583"/>
      <c r="H68" s="469" t="s">
        <v>96</v>
      </c>
      <c r="I68" s="110" t="s">
        <v>429</v>
      </c>
      <c r="J68" s="631">
        <f>16100000000-10000000000+200000000</f>
        <v>6300000000</v>
      </c>
      <c r="K68" s="631">
        <f>16100000000-10000000000+200000000</f>
        <v>6300000000</v>
      </c>
      <c r="L68" s="631">
        <f>16100000000-10000000000+200000000</f>
        <v>6300000000</v>
      </c>
      <c r="M68" s="149">
        <f>16100000000-10000000000+200000000</f>
        <v>6300000000</v>
      </c>
      <c r="N68" s="150"/>
      <c r="O68" s="150"/>
      <c r="P68" s="150"/>
      <c r="Q68" s="516"/>
      <c r="R68" s="112"/>
      <c r="T68" s="926"/>
      <c r="U68" s="926"/>
      <c r="V68" s="926"/>
    </row>
    <row r="69" spans="2:22" s="82" customFormat="1" ht="19.5" customHeight="1" x14ac:dyDescent="0.25">
      <c r="B69" s="59"/>
      <c r="C69" s="39"/>
      <c r="D69" s="109"/>
      <c r="E69" s="88" t="s">
        <v>22</v>
      </c>
      <c r="F69" s="1579" t="s">
        <v>97</v>
      </c>
      <c r="G69" s="1580"/>
      <c r="H69" s="152" t="s">
        <v>98</v>
      </c>
      <c r="I69" s="153">
        <v>1</v>
      </c>
      <c r="J69" s="632">
        <f>SUM(J70:J75)</f>
        <v>6600000000</v>
      </c>
      <c r="K69" s="632">
        <f>SUM(K70:K75)</f>
        <v>6600000000</v>
      </c>
      <c r="L69" s="632">
        <f>SUM(L70:L75)</f>
        <v>6600000000</v>
      </c>
      <c r="M69" s="154">
        <f>SUM(M70:M75)</f>
        <v>6600000000</v>
      </c>
      <c r="N69" s="118"/>
      <c r="O69" s="118"/>
      <c r="P69" s="118"/>
      <c r="Q69" s="522"/>
      <c r="R69" s="118"/>
      <c r="T69" s="155"/>
      <c r="U69" s="155"/>
      <c r="V69" s="155"/>
    </row>
    <row r="70" spans="2:22" s="163" customFormat="1" ht="12" customHeight="1" x14ac:dyDescent="0.25">
      <c r="B70" s="59"/>
      <c r="C70" s="119"/>
      <c r="D70" s="156"/>
      <c r="E70" s="157"/>
      <c r="F70" s="158" t="s">
        <v>46</v>
      </c>
      <c r="G70" s="159" t="s">
        <v>99</v>
      </c>
      <c r="H70" s="160"/>
      <c r="I70" s="161"/>
      <c r="J70" s="633">
        <v>1100000000</v>
      </c>
      <c r="K70" s="633">
        <v>1100000000</v>
      </c>
      <c r="L70" s="633">
        <v>1100000000</v>
      </c>
      <c r="M70" s="162">
        <v>1150000000</v>
      </c>
      <c r="N70" s="126"/>
      <c r="O70" s="126"/>
      <c r="P70" s="126"/>
      <c r="Q70" s="523"/>
      <c r="R70" s="126"/>
      <c r="T70" s="1443"/>
      <c r="U70" s="1443"/>
      <c r="V70" s="1443"/>
    </row>
    <row r="71" spans="2:22" s="163" customFormat="1" ht="12" customHeight="1" x14ac:dyDescent="0.25">
      <c r="B71" s="59"/>
      <c r="C71" s="119"/>
      <c r="D71" s="128"/>
      <c r="E71" s="1478"/>
      <c r="F71" s="1479" t="s">
        <v>46</v>
      </c>
      <c r="G71" s="1480" t="s">
        <v>100</v>
      </c>
      <c r="H71" s="1481"/>
      <c r="I71" s="1482"/>
      <c r="J71" s="633">
        <v>1100000000</v>
      </c>
      <c r="K71" s="633">
        <v>1100000000</v>
      </c>
      <c r="L71" s="633">
        <v>1100000000</v>
      </c>
      <c r="M71" s="162">
        <v>1150000000</v>
      </c>
      <c r="N71" s="126"/>
      <c r="O71" s="126"/>
      <c r="P71" s="126"/>
      <c r="Q71" s="523"/>
      <c r="R71" s="126"/>
      <c r="T71" s="1443">
        <v>172</v>
      </c>
      <c r="U71" s="1443"/>
      <c r="V71" s="1443"/>
    </row>
    <row r="72" spans="2:22" s="163" customFormat="1" ht="12" customHeight="1" x14ac:dyDescent="0.25">
      <c r="B72" s="59"/>
      <c r="C72" s="119"/>
      <c r="D72" s="128"/>
      <c r="E72" s="1478"/>
      <c r="F72" s="1479" t="s">
        <v>46</v>
      </c>
      <c r="G72" s="1480" t="s">
        <v>101</v>
      </c>
      <c r="H72" s="1481"/>
      <c r="I72" s="1482"/>
      <c r="J72" s="633">
        <v>1100000000</v>
      </c>
      <c r="K72" s="633">
        <v>1100000000</v>
      </c>
      <c r="L72" s="633">
        <v>1100000000</v>
      </c>
      <c r="M72" s="162">
        <v>1150000000</v>
      </c>
      <c r="N72" s="126"/>
      <c r="O72" s="126"/>
      <c r="P72" s="126"/>
      <c r="Q72" s="523"/>
      <c r="R72" s="126"/>
      <c r="T72" s="1443">
        <f>(6.6/T71)*100</f>
        <v>3.8372093023255811</v>
      </c>
      <c r="U72" s="1443"/>
      <c r="V72" s="1443"/>
    </row>
    <row r="73" spans="2:22" s="163" customFormat="1" ht="12" customHeight="1" x14ac:dyDescent="0.25">
      <c r="B73" s="59"/>
      <c r="C73" s="119"/>
      <c r="D73" s="128"/>
      <c r="E73" s="1478"/>
      <c r="F73" s="1479" t="s">
        <v>46</v>
      </c>
      <c r="G73" s="1480" t="s">
        <v>102</v>
      </c>
      <c r="H73" s="1481"/>
      <c r="I73" s="1482"/>
      <c r="J73" s="633">
        <v>1100000000</v>
      </c>
      <c r="K73" s="633">
        <v>1100000000</v>
      </c>
      <c r="L73" s="633">
        <v>1100000000</v>
      </c>
      <c r="M73" s="162">
        <v>1250000000</v>
      </c>
      <c r="N73" s="126"/>
      <c r="O73" s="126"/>
      <c r="P73" s="126"/>
      <c r="Q73" s="523"/>
      <c r="R73" s="126"/>
      <c r="T73" s="1443"/>
      <c r="U73" s="1443"/>
      <c r="V73" s="1443"/>
    </row>
    <row r="74" spans="2:22" s="163" customFormat="1" ht="12" customHeight="1" x14ac:dyDescent="0.25">
      <c r="B74" s="59"/>
      <c r="C74" s="119"/>
      <c r="D74" s="128"/>
      <c r="E74" s="1478"/>
      <c r="F74" s="1479" t="s">
        <v>46</v>
      </c>
      <c r="G74" s="1480" t="s">
        <v>103</v>
      </c>
      <c r="H74" s="1481"/>
      <c r="I74" s="1482"/>
      <c r="J74" s="633">
        <v>1100000000</v>
      </c>
      <c r="K74" s="633">
        <v>1100000000</v>
      </c>
      <c r="L74" s="633">
        <v>1100000000</v>
      </c>
      <c r="M74" s="162">
        <v>900000000</v>
      </c>
      <c r="N74" s="126"/>
      <c r="O74" s="126"/>
      <c r="P74" s="126"/>
      <c r="Q74" s="523"/>
      <c r="R74" s="126"/>
      <c r="T74" s="1443"/>
      <c r="U74" s="1443"/>
      <c r="V74" s="1443"/>
    </row>
    <row r="75" spans="2:22" s="163" customFormat="1" ht="12" customHeight="1" x14ac:dyDescent="0.25">
      <c r="B75" s="59"/>
      <c r="C75" s="119"/>
      <c r="D75" s="128"/>
      <c r="E75" s="1478"/>
      <c r="F75" s="1479" t="s">
        <v>46</v>
      </c>
      <c r="G75" s="1480" t="s">
        <v>104</v>
      </c>
      <c r="H75" s="1481"/>
      <c r="I75" s="1482"/>
      <c r="J75" s="633">
        <v>1100000000</v>
      </c>
      <c r="K75" s="633">
        <v>1100000000</v>
      </c>
      <c r="L75" s="633">
        <v>1100000000</v>
      </c>
      <c r="M75" s="162">
        <v>1000000000</v>
      </c>
      <c r="N75" s="126"/>
      <c r="O75" s="126"/>
      <c r="P75" s="126"/>
      <c r="Q75" s="523"/>
      <c r="R75" s="126"/>
      <c r="T75" s="1443"/>
      <c r="U75" s="1443"/>
      <c r="V75" s="1443"/>
    </row>
    <row r="76" spans="2:22" s="113" customFormat="1" ht="19.5" customHeight="1" x14ac:dyDescent="0.25">
      <c r="B76" s="59"/>
      <c r="C76" s="39"/>
      <c r="D76" s="140"/>
      <c r="E76" s="749" t="s">
        <v>210</v>
      </c>
      <c r="F76" s="1582" t="s">
        <v>105</v>
      </c>
      <c r="G76" s="1583"/>
      <c r="H76" s="1436" t="s">
        <v>106</v>
      </c>
      <c r="I76" s="134">
        <v>1</v>
      </c>
      <c r="J76" s="626">
        <v>0</v>
      </c>
      <c r="K76" s="626">
        <v>0</v>
      </c>
      <c r="L76" s="626">
        <v>0</v>
      </c>
      <c r="M76" s="117">
        <f>22362000000+300000000</f>
        <v>22662000000</v>
      </c>
      <c r="N76" s="168"/>
      <c r="O76" s="168"/>
      <c r="P76" s="168"/>
      <c r="Q76" s="524"/>
      <c r="R76" s="168"/>
      <c r="S76" s="113" t="s">
        <v>107</v>
      </c>
      <c r="T76" s="926"/>
      <c r="U76" s="926">
        <v>22362000000</v>
      </c>
      <c r="V76" s="926"/>
    </row>
    <row r="77" spans="2:22" s="113" customFormat="1" ht="15.75" hidden="1" customHeight="1" x14ac:dyDescent="0.25">
      <c r="B77" s="59"/>
      <c r="C77" s="119"/>
      <c r="D77" s="128"/>
      <c r="E77" s="1478"/>
      <c r="F77" s="1483" t="s">
        <v>46</v>
      </c>
      <c r="G77" s="138" t="s">
        <v>108</v>
      </c>
      <c r="H77" s="1484"/>
      <c r="I77" s="176" t="s">
        <v>109</v>
      </c>
      <c r="J77" s="627">
        <v>17500000000</v>
      </c>
      <c r="K77" s="627">
        <v>17500000000</v>
      </c>
      <c r="L77" s="627">
        <v>17500000000</v>
      </c>
      <c r="M77" s="125">
        <v>17500000000</v>
      </c>
      <c r="N77" s="126"/>
      <c r="O77" s="126"/>
      <c r="P77" s="126"/>
      <c r="Q77" s="517"/>
      <c r="R77" s="126"/>
      <c r="T77" s="926"/>
      <c r="U77" s="926"/>
      <c r="V77" s="926"/>
    </row>
    <row r="78" spans="2:22" s="113" customFormat="1" ht="15.75" hidden="1" customHeight="1" x14ac:dyDescent="0.25">
      <c r="B78" s="59"/>
      <c r="C78" s="119"/>
      <c r="D78" s="128"/>
      <c r="E78" s="1478"/>
      <c r="F78" s="1483" t="s">
        <v>46</v>
      </c>
      <c r="G78" s="138" t="s">
        <v>110</v>
      </c>
      <c r="H78" s="1484"/>
      <c r="I78" s="176" t="s">
        <v>111</v>
      </c>
      <c r="J78" s="627">
        <v>7500000000</v>
      </c>
      <c r="K78" s="627">
        <v>7500000000</v>
      </c>
      <c r="L78" s="627">
        <v>7500000000</v>
      </c>
      <c r="M78" s="125">
        <v>7500000000</v>
      </c>
      <c r="N78" s="126"/>
      <c r="O78" s="126"/>
      <c r="P78" s="126"/>
      <c r="Q78" s="517"/>
      <c r="R78" s="126"/>
      <c r="T78" s="926"/>
      <c r="U78" s="926"/>
      <c r="V78" s="926"/>
    </row>
    <row r="79" spans="2:22" s="113" customFormat="1" ht="15.75" hidden="1" customHeight="1" x14ac:dyDescent="0.25">
      <c r="B79" s="59"/>
      <c r="C79" s="119"/>
      <c r="D79" s="128"/>
      <c r="E79" s="1478"/>
      <c r="F79" s="1483" t="s">
        <v>46</v>
      </c>
      <c r="G79" s="138" t="s">
        <v>112</v>
      </c>
      <c r="H79" s="1484"/>
      <c r="I79" s="176" t="s">
        <v>113</v>
      </c>
      <c r="J79" s="627">
        <v>15400000000</v>
      </c>
      <c r="K79" s="627">
        <v>15400000000</v>
      </c>
      <c r="L79" s="627">
        <v>15400000000</v>
      </c>
      <c r="M79" s="125">
        <v>15400000000</v>
      </c>
      <c r="N79" s="126"/>
      <c r="O79" s="126"/>
      <c r="P79" s="126"/>
      <c r="Q79" s="517"/>
      <c r="R79" s="126"/>
      <c r="T79" s="926"/>
      <c r="U79" s="926"/>
      <c r="V79" s="926"/>
    </row>
    <row r="80" spans="2:22" s="113" customFormat="1" ht="15.75" hidden="1" customHeight="1" x14ac:dyDescent="0.25">
      <c r="B80" s="59"/>
      <c r="C80" s="119"/>
      <c r="D80" s="128"/>
      <c r="E80" s="1478"/>
      <c r="F80" s="1483" t="s">
        <v>46</v>
      </c>
      <c r="G80" s="138" t="s">
        <v>114</v>
      </c>
      <c r="H80" s="1484"/>
      <c r="I80" s="176" t="s">
        <v>115</v>
      </c>
      <c r="J80" s="627">
        <v>0</v>
      </c>
      <c r="K80" s="627">
        <v>0</v>
      </c>
      <c r="L80" s="627">
        <v>0</v>
      </c>
      <c r="M80" s="125">
        <v>0</v>
      </c>
      <c r="N80" s="126"/>
      <c r="O80" s="126"/>
      <c r="P80" s="126"/>
      <c r="Q80" s="517"/>
      <c r="R80" s="126"/>
      <c r="T80" s="926"/>
      <c r="U80" s="926"/>
      <c r="V80" s="926"/>
    </row>
    <row r="81" spans="2:22" s="113" customFormat="1" ht="15.75" hidden="1" customHeight="1" x14ac:dyDescent="0.25">
      <c r="B81" s="59"/>
      <c r="C81" s="119"/>
      <c r="D81" s="128"/>
      <c r="E81" s="1478"/>
      <c r="F81" s="1483" t="s">
        <v>46</v>
      </c>
      <c r="G81" s="138" t="s">
        <v>116</v>
      </c>
      <c r="H81" s="1484"/>
      <c r="I81" s="176">
        <v>1</v>
      </c>
      <c r="J81" s="627">
        <v>1000000</v>
      </c>
      <c r="K81" s="627">
        <v>1000000</v>
      </c>
      <c r="L81" s="627">
        <v>1000000</v>
      </c>
      <c r="M81" s="125">
        <v>1000000</v>
      </c>
      <c r="N81" s="126"/>
      <c r="O81" s="126"/>
      <c r="P81" s="126"/>
      <c r="Q81" s="517"/>
      <c r="R81" s="126"/>
      <c r="T81" s="926"/>
      <c r="U81" s="926"/>
      <c r="V81" s="926"/>
    </row>
    <row r="82" spans="2:22" s="113" customFormat="1" ht="15.75" hidden="1" customHeight="1" x14ac:dyDescent="0.25">
      <c r="B82" s="59"/>
      <c r="C82" s="119"/>
      <c r="D82" s="128"/>
      <c r="E82" s="1478"/>
      <c r="F82" s="1483" t="s">
        <v>46</v>
      </c>
      <c r="G82" s="138" t="s">
        <v>117</v>
      </c>
      <c r="H82" s="1484"/>
      <c r="I82" s="176">
        <v>1</v>
      </c>
      <c r="J82" s="627">
        <v>1000000</v>
      </c>
      <c r="K82" s="627">
        <v>1000000</v>
      </c>
      <c r="L82" s="627">
        <v>1000000</v>
      </c>
      <c r="M82" s="125">
        <v>1000000</v>
      </c>
      <c r="N82" s="126"/>
      <c r="O82" s="126"/>
      <c r="P82" s="126"/>
      <c r="Q82" s="517"/>
      <c r="R82" s="126"/>
      <c r="T82" s="926"/>
      <c r="U82" s="926"/>
      <c r="V82" s="926"/>
    </row>
    <row r="83" spans="2:22" s="113" customFormat="1" ht="30.75" hidden="1" customHeight="1" x14ac:dyDescent="0.25">
      <c r="B83" s="59"/>
      <c r="C83" s="119"/>
      <c r="D83" s="128"/>
      <c r="E83" s="1478"/>
      <c r="F83" s="1483" t="s">
        <v>46</v>
      </c>
      <c r="G83" s="138" t="s">
        <v>118</v>
      </c>
      <c r="H83" s="1484"/>
      <c r="I83" s="176">
        <v>1</v>
      </c>
      <c r="J83" s="627">
        <v>1000000</v>
      </c>
      <c r="K83" s="627">
        <v>1000000</v>
      </c>
      <c r="L83" s="627">
        <v>1000000</v>
      </c>
      <c r="M83" s="125">
        <v>1000000</v>
      </c>
      <c r="N83" s="126"/>
      <c r="O83" s="126"/>
      <c r="P83" s="126"/>
      <c r="Q83" s="517"/>
      <c r="R83" s="126"/>
      <c r="T83" s="926"/>
      <c r="U83" s="926"/>
      <c r="V83" s="926"/>
    </row>
    <row r="84" spans="2:22" s="113" customFormat="1" ht="15.75" hidden="1" customHeight="1" x14ac:dyDescent="0.25">
      <c r="B84" s="59"/>
      <c r="C84" s="119"/>
      <c r="D84" s="128"/>
      <c r="E84" s="1478"/>
      <c r="F84" s="1483" t="s">
        <v>46</v>
      </c>
      <c r="G84" s="138" t="s">
        <v>119</v>
      </c>
      <c r="H84" s="1484"/>
      <c r="I84" s="176">
        <v>1</v>
      </c>
      <c r="J84" s="627">
        <v>1000000</v>
      </c>
      <c r="K84" s="627">
        <v>1000000</v>
      </c>
      <c r="L84" s="627">
        <v>1000000</v>
      </c>
      <c r="M84" s="125">
        <v>1000000</v>
      </c>
      <c r="N84" s="126"/>
      <c r="O84" s="126"/>
      <c r="P84" s="126"/>
      <c r="Q84" s="517"/>
      <c r="R84" s="126"/>
      <c r="T84" s="926"/>
      <c r="U84" s="926"/>
      <c r="V84" s="926"/>
    </row>
    <row r="85" spans="2:22" s="113" customFormat="1" ht="15.75" hidden="1" customHeight="1" x14ac:dyDescent="0.25">
      <c r="B85" s="59"/>
      <c r="C85" s="119"/>
      <c r="D85" s="128"/>
      <c r="E85" s="1478"/>
      <c r="F85" s="1483" t="s">
        <v>46</v>
      </c>
      <c r="G85" s="138" t="s">
        <v>120</v>
      </c>
      <c r="H85" s="1484"/>
      <c r="I85" s="176">
        <v>1</v>
      </c>
      <c r="J85" s="627">
        <v>1000000</v>
      </c>
      <c r="K85" s="627">
        <v>1000000</v>
      </c>
      <c r="L85" s="627">
        <v>1000000</v>
      </c>
      <c r="M85" s="125">
        <v>1000000</v>
      </c>
      <c r="N85" s="126"/>
      <c r="O85" s="126"/>
      <c r="P85" s="126"/>
      <c r="Q85" s="517"/>
      <c r="R85" s="126"/>
      <c r="T85" s="926"/>
      <c r="U85" s="926"/>
      <c r="V85" s="926"/>
    </row>
    <row r="86" spans="2:22" s="113" customFormat="1" ht="30.75" hidden="1" customHeight="1" x14ac:dyDescent="0.25">
      <c r="B86" s="59"/>
      <c r="C86" s="119"/>
      <c r="D86" s="128"/>
      <c r="E86" s="1478"/>
      <c r="F86" s="1483" t="s">
        <v>46</v>
      </c>
      <c r="G86" s="138" t="s">
        <v>121</v>
      </c>
      <c r="H86" s="1484"/>
      <c r="I86" s="176">
        <v>1</v>
      </c>
      <c r="J86" s="627">
        <v>1000000</v>
      </c>
      <c r="K86" s="627">
        <v>1000000</v>
      </c>
      <c r="L86" s="627">
        <v>1000000</v>
      </c>
      <c r="M86" s="125">
        <v>1000000</v>
      </c>
      <c r="N86" s="126"/>
      <c r="O86" s="126"/>
      <c r="P86" s="126"/>
      <c r="Q86" s="517"/>
      <c r="R86" s="126"/>
      <c r="T86" s="926"/>
      <c r="U86" s="926"/>
      <c r="V86" s="926"/>
    </row>
    <row r="87" spans="2:22" s="113" customFormat="1" ht="30.75" hidden="1" customHeight="1" x14ac:dyDescent="0.25">
      <c r="B87" s="59"/>
      <c r="C87" s="119"/>
      <c r="D87" s="128"/>
      <c r="E87" s="1478"/>
      <c r="F87" s="1483" t="s">
        <v>46</v>
      </c>
      <c r="G87" s="138" t="s">
        <v>122</v>
      </c>
      <c r="H87" s="1484"/>
      <c r="I87" s="176">
        <v>1</v>
      </c>
      <c r="J87" s="627">
        <v>1000000</v>
      </c>
      <c r="K87" s="627">
        <v>1000000</v>
      </c>
      <c r="L87" s="627">
        <v>1000000</v>
      </c>
      <c r="M87" s="125">
        <v>1000000</v>
      </c>
      <c r="N87" s="126"/>
      <c r="O87" s="126"/>
      <c r="P87" s="126"/>
      <c r="Q87" s="517"/>
      <c r="R87" s="126"/>
      <c r="T87" s="926"/>
      <c r="U87" s="926"/>
      <c r="V87" s="926"/>
    </row>
    <row r="88" spans="2:22" s="113" customFormat="1" ht="15.75" hidden="1" customHeight="1" x14ac:dyDescent="0.25">
      <c r="B88" s="59"/>
      <c r="C88" s="119"/>
      <c r="D88" s="128"/>
      <c r="E88" s="1478"/>
      <c r="F88" s="1483" t="s">
        <v>46</v>
      </c>
      <c r="G88" s="138" t="s">
        <v>123</v>
      </c>
      <c r="H88" s="1484"/>
      <c r="I88" s="176">
        <v>2</v>
      </c>
      <c r="J88" s="627">
        <v>1000000</v>
      </c>
      <c r="K88" s="627">
        <v>1000000</v>
      </c>
      <c r="L88" s="627">
        <v>1000000</v>
      </c>
      <c r="M88" s="125">
        <v>1000000</v>
      </c>
      <c r="N88" s="126"/>
      <c r="O88" s="126"/>
      <c r="P88" s="126"/>
      <c r="Q88" s="517"/>
      <c r="R88" s="126"/>
      <c r="T88" s="926"/>
      <c r="U88" s="926"/>
      <c r="V88" s="926"/>
    </row>
    <row r="89" spans="2:22" s="113" customFormat="1" ht="15.75" hidden="1" customHeight="1" x14ac:dyDescent="0.25">
      <c r="B89" s="59"/>
      <c r="C89" s="119"/>
      <c r="D89" s="128"/>
      <c r="E89" s="1478"/>
      <c r="F89" s="1483" t="s">
        <v>46</v>
      </c>
      <c r="G89" s="138" t="s">
        <v>124</v>
      </c>
      <c r="H89" s="1484"/>
      <c r="I89" s="176">
        <v>1</v>
      </c>
      <c r="J89" s="627">
        <v>1000000</v>
      </c>
      <c r="K89" s="627">
        <v>1000000</v>
      </c>
      <c r="L89" s="627">
        <v>1000000</v>
      </c>
      <c r="M89" s="125">
        <v>1000000</v>
      </c>
      <c r="N89" s="126"/>
      <c r="O89" s="126"/>
      <c r="P89" s="126"/>
      <c r="Q89" s="517"/>
      <c r="R89" s="126"/>
      <c r="T89" s="926"/>
      <c r="U89" s="926"/>
      <c r="V89" s="926"/>
    </row>
    <row r="90" spans="2:22" s="113" customFormat="1" ht="21.75" hidden="1" customHeight="1" x14ac:dyDescent="0.25">
      <c r="B90" s="59"/>
      <c r="C90" s="39"/>
      <c r="D90" s="140"/>
      <c r="E90" s="749"/>
      <c r="F90" s="1582" t="s">
        <v>125</v>
      </c>
      <c r="G90" s="1583"/>
      <c r="H90" s="1436" t="s">
        <v>126</v>
      </c>
      <c r="I90" s="442"/>
      <c r="J90" s="625">
        <v>0</v>
      </c>
      <c r="K90" s="625">
        <v>0</v>
      </c>
      <c r="L90" s="625">
        <v>0</v>
      </c>
      <c r="M90" s="111">
        <v>0</v>
      </c>
      <c r="N90" s="112"/>
      <c r="O90" s="112"/>
      <c r="P90" s="112"/>
      <c r="Q90" s="516"/>
      <c r="R90" s="112"/>
      <c r="T90" s="926"/>
      <c r="U90" s="926"/>
      <c r="V90" s="926"/>
    </row>
    <row r="91" spans="2:22" s="62" customFormat="1" ht="21" customHeight="1" x14ac:dyDescent="0.25">
      <c r="B91" s="59"/>
      <c r="C91" s="39"/>
      <c r="D91" s="140"/>
      <c r="E91" s="749" t="s">
        <v>439</v>
      </c>
      <c r="F91" s="1582" t="s">
        <v>127</v>
      </c>
      <c r="G91" s="1583"/>
      <c r="H91" s="469" t="s">
        <v>128</v>
      </c>
      <c r="I91" s="134" t="s">
        <v>536</v>
      </c>
      <c r="J91" s="626">
        <f>SUM(J92:J92)</f>
        <v>10000000000</v>
      </c>
      <c r="K91" s="626">
        <f>SUM(K92:K92)</f>
        <v>10000000000</v>
      </c>
      <c r="L91" s="626">
        <f>SUM(L92:L92)</f>
        <v>10000000000</v>
      </c>
      <c r="M91" s="117">
        <f>SUM(M92:M92)</f>
        <v>10000000000</v>
      </c>
      <c r="N91" s="118"/>
      <c r="O91" s="118"/>
      <c r="P91" s="118"/>
      <c r="Q91" s="518"/>
      <c r="R91" s="118"/>
      <c r="T91" s="731"/>
      <c r="U91" s="731"/>
      <c r="V91" s="731"/>
    </row>
    <row r="92" spans="2:22" s="1182" customFormat="1" ht="12" customHeight="1" x14ac:dyDescent="0.25">
      <c r="B92" s="1170"/>
      <c r="C92" s="1171"/>
      <c r="D92" s="1172"/>
      <c r="E92" s="1485"/>
      <c r="F92" s="1486" t="s">
        <v>46</v>
      </c>
      <c r="G92" s="1175" t="s">
        <v>129</v>
      </c>
      <c r="H92" s="1217"/>
      <c r="I92" s="1177" t="s">
        <v>536</v>
      </c>
      <c r="J92" s="1178">
        <v>10000000000</v>
      </c>
      <c r="K92" s="1178">
        <v>10000000000</v>
      </c>
      <c r="L92" s="1178">
        <v>10000000000</v>
      </c>
      <c r="M92" s="1179">
        <v>10000000000</v>
      </c>
      <c r="N92" s="1180"/>
      <c r="O92" s="1180"/>
      <c r="P92" s="1180"/>
      <c r="Q92" s="1181"/>
      <c r="R92" s="1180"/>
      <c r="T92" s="1444"/>
      <c r="U92" s="1444"/>
      <c r="V92" s="1444"/>
    </row>
    <row r="93" spans="2:22" s="62" customFormat="1" ht="19.5" customHeight="1" x14ac:dyDescent="0.25">
      <c r="B93" s="59"/>
      <c r="C93" s="39"/>
      <c r="D93" s="140"/>
      <c r="E93" s="749" t="s">
        <v>440</v>
      </c>
      <c r="F93" s="1582" t="s">
        <v>130</v>
      </c>
      <c r="G93" s="1583"/>
      <c r="H93" s="1436" t="s">
        <v>131</v>
      </c>
      <c r="I93" s="134" t="s">
        <v>398</v>
      </c>
      <c r="J93" s="626">
        <f>SUM(J94:J96)</f>
        <v>12000000000</v>
      </c>
      <c r="K93" s="626">
        <f>SUM(K94:K96)</f>
        <v>13000000000</v>
      </c>
      <c r="L93" s="626">
        <f>SUM(L94:L96)</f>
        <v>12000000000</v>
      </c>
      <c r="M93" s="117">
        <f>SUM(M94:M96)</f>
        <v>11650000000</v>
      </c>
      <c r="N93" s="118"/>
      <c r="O93" s="118"/>
      <c r="P93" s="118"/>
      <c r="Q93" s="518"/>
      <c r="R93" s="118"/>
      <c r="T93" s="731"/>
      <c r="U93" s="731"/>
      <c r="V93" s="731"/>
    </row>
    <row r="94" spans="2:22" s="1182" customFormat="1" ht="12" customHeight="1" x14ac:dyDescent="0.25">
      <c r="B94" s="1170"/>
      <c r="C94" s="1171"/>
      <c r="D94" s="1172"/>
      <c r="E94" s="1485"/>
      <c r="F94" s="1487" t="s">
        <v>46</v>
      </c>
      <c r="G94" s="1184" t="s">
        <v>132</v>
      </c>
      <c r="H94" s="1217"/>
      <c r="I94" s="1177" t="s">
        <v>133</v>
      </c>
      <c r="J94" s="1178">
        <f>4200000000+1800000000</f>
        <v>6000000000</v>
      </c>
      <c r="K94" s="1178">
        <f>4200000000+1000000000+1800000000</f>
        <v>7000000000</v>
      </c>
      <c r="L94" s="1178">
        <f>4200000000+1800000000</f>
        <v>6000000000</v>
      </c>
      <c r="M94" s="1179">
        <f>4200000000+1000000000+1800000000-1000000000-350000000</f>
        <v>5650000000</v>
      </c>
      <c r="N94" s="1180"/>
      <c r="O94" s="1180"/>
      <c r="P94" s="1180"/>
      <c r="Q94" s="1181"/>
      <c r="R94" s="1180"/>
      <c r="S94" s="1185"/>
      <c r="T94" s="1444"/>
      <c r="U94" s="1444"/>
      <c r="V94" s="1444"/>
    </row>
    <row r="95" spans="2:22" s="1199" customFormat="1" ht="12" hidden="1" customHeight="1" x14ac:dyDescent="0.25">
      <c r="B95" s="1186"/>
      <c r="C95" s="1187"/>
      <c r="D95" s="1188"/>
      <c r="E95" s="1488"/>
      <c r="F95" s="1489" t="s">
        <v>46</v>
      </c>
      <c r="G95" s="1191" t="s">
        <v>132</v>
      </c>
      <c r="H95" s="1490"/>
      <c r="I95" s="1193"/>
      <c r="J95" s="1194"/>
      <c r="K95" s="1194">
        <v>0</v>
      </c>
      <c r="L95" s="1194">
        <v>0</v>
      </c>
      <c r="M95" s="1195">
        <v>0</v>
      </c>
      <c r="N95" s="1196"/>
      <c r="O95" s="1196"/>
      <c r="P95" s="1196"/>
      <c r="Q95" s="1197" t="s">
        <v>134</v>
      </c>
      <c r="R95" s="1196">
        <v>1800000000</v>
      </c>
      <c r="S95" s="1198" t="s">
        <v>134</v>
      </c>
      <c r="T95" s="1445"/>
      <c r="U95" s="1445"/>
      <c r="V95" s="1445"/>
    </row>
    <row r="96" spans="2:22" s="1182" customFormat="1" ht="12" customHeight="1" x14ac:dyDescent="0.25">
      <c r="B96" s="1170"/>
      <c r="C96" s="1171"/>
      <c r="D96" s="1172"/>
      <c r="E96" s="1485"/>
      <c r="F96" s="1487" t="s">
        <v>46</v>
      </c>
      <c r="G96" s="1184" t="s">
        <v>135</v>
      </c>
      <c r="H96" s="1217"/>
      <c r="I96" s="1177" t="s">
        <v>133</v>
      </c>
      <c r="J96" s="1178">
        <v>6000000000</v>
      </c>
      <c r="K96" s="1178">
        <v>6000000000</v>
      </c>
      <c r="L96" s="1178">
        <v>6000000000</v>
      </c>
      <c r="M96" s="1179">
        <v>6000000000</v>
      </c>
      <c r="N96" s="1180"/>
      <c r="O96" s="1180"/>
      <c r="P96" s="1180"/>
      <c r="Q96" s="1200"/>
      <c r="R96" s="1180"/>
      <c r="T96" s="1444"/>
      <c r="U96" s="1444"/>
      <c r="V96" s="1444"/>
    </row>
    <row r="97" spans="2:22" s="62" customFormat="1" ht="26.25" customHeight="1" x14ac:dyDescent="0.25">
      <c r="B97" s="59"/>
      <c r="C97" s="39"/>
      <c r="D97" s="140"/>
      <c r="E97" s="749" t="s">
        <v>441</v>
      </c>
      <c r="F97" s="1582" t="s">
        <v>136</v>
      </c>
      <c r="G97" s="1583"/>
      <c r="H97" s="469" t="s">
        <v>137</v>
      </c>
      <c r="I97" s="200" t="s">
        <v>537</v>
      </c>
      <c r="J97" s="626">
        <f>SUM(J98:J101)</f>
        <v>26300000000</v>
      </c>
      <c r="K97" s="626">
        <f>SUM(K98:K101)</f>
        <v>35300000000</v>
      </c>
      <c r="L97" s="626">
        <f>SUM(L98:L101)</f>
        <v>28000000000</v>
      </c>
      <c r="M97" s="117">
        <f>SUM(M98:M101)</f>
        <v>32000000000</v>
      </c>
      <c r="N97" s="996"/>
      <c r="O97" s="996"/>
      <c r="P97" s="118"/>
      <c r="Q97" s="586"/>
      <c r="R97" s="118"/>
      <c r="T97" s="731"/>
      <c r="U97" s="731"/>
      <c r="V97" s="731"/>
    </row>
    <row r="98" spans="2:22" s="1182" customFormat="1" ht="12" customHeight="1" x14ac:dyDescent="0.25">
      <c r="B98" s="1201"/>
      <c r="C98" s="1171"/>
      <c r="D98" s="1172"/>
      <c r="E98" s="1485"/>
      <c r="F98" s="1487" t="s">
        <v>46</v>
      </c>
      <c r="G98" s="1202" t="s">
        <v>138</v>
      </c>
      <c r="H98" s="1217"/>
      <c r="I98" s="1177" t="s">
        <v>593</v>
      </c>
      <c r="J98" s="1178">
        <f>12500000000+500000000</f>
        <v>13000000000</v>
      </c>
      <c r="K98" s="1178">
        <f>12500000000+500000000</f>
        <v>13000000000</v>
      </c>
      <c r="L98" s="1178">
        <f>12500000000+500000000</f>
        <v>13000000000</v>
      </c>
      <c r="M98" s="1179">
        <f>12500000000+500000000-1000000000</f>
        <v>12000000000</v>
      </c>
      <c r="N98" s="1180"/>
      <c r="O98" s="1180"/>
      <c r="P98" s="1180"/>
      <c r="Q98" s="1200"/>
      <c r="R98" s="1180"/>
      <c r="T98" s="1444"/>
      <c r="U98" s="1444"/>
      <c r="V98" s="1444"/>
    </row>
    <row r="99" spans="2:22" s="1182" customFormat="1" ht="12" customHeight="1" x14ac:dyDescent="0.25">
      <c r="B99" s="1201"/>
      <c r="C99" s="1171"/>
      <c r="D99" s="1172"/>
      <c r="E99" s="1485"/>
      <c r="F99" s="1487" t="s">
        <v>46</v>
      </c>
      <c r="G99" s="1202" t="s">
        <v>139</v>
      </c>
      <c r="H99" s="1491"/>
      <c r="I99" s="1177" t="s">
        <v>109</v>
      </c>
      <c r="J99" s="1178">
        <v>5800000000</v>
      </c>
      <c r="K99" s="1178">
        <f>5800000000+9000000000</f>
        <v>14800000000</v>
      </c>
      <c r="L99" s="1178">
        <f>5800000000+1700000000</f>
        <v>7500000000</v>
      </c>
      <c r="M99" s="1179">
        <f>5800000000+1700000000+10000000000-5000000000</f>
        <v>12500000000</v>
      </c>
      <c r="N99" s="1205"/>
      <c r="O99" s="1205"/>
      <c r="P99" s="1180"/>
      <c r="Q99" s="1200"/>
      <c r="R99" s="1180"/>
      <c r="T99" s="1444"/>
      <c r="U99" s="1444"/>
      <c r="V99" s="1444"/>
    </row>
    <row r="100" spans="2:22" s="1182" customFormat="1" ht="12" customHeight="1" x14ac:dyDescent="0.25">
      <c r="B100" s="1201"/>
      <c r="C100" s="1171"/>
      <c r="D100" s="1172"/>
      <c r="E100" s="1485"/>
      <c r="F100" s="1487" t="s">
        <v>46</v>
      </c>
      <c r="G100" s="1202" t="s">
        <v>140</v>
      </c>
      <c r="H100" s="1217" t="s">
        <v>594</v>
      </c>
      <c r="I100" s="1177" t="s">
        <v>111</v>
      </c>
      <c r="J100" s="1178">
        <v>7500000000</v>
      </c>
      <c r="K100" s="1178">
        <v>7500000000</v>
      </c>
      <c r="L100" s="1178">
        <v>7500000000</v>
      </c>
      <c r="M100" s="1179">
        <v>7500000000</v>
      </c>
      <c r="N100" s="1180"/>
      <c r="O100" s="1180"/>
      <c r="P100" s="1180"/>
      <c r="Q100" s="1200"/>
      <c r="R100" s="1180"/>
      <c r="T100" s="1444"/>
      <c r="U100" s="1444"/>
      <c r="V100" s="1444"/>
    </row>
    <row r="101" spans="2:22" s="192" customFormat="1" ht="15" hidden="1" customHeight="1" x14ac:dyDescent="0.25">
      <c r="B101" s="267"/>
      <c r="C101" s="183"/>
      <c r="D101" s="184"/>
      <c r="E101" s="222"/>
      <c r="F101" s="1492"/>
      <c r="G101" s="202" t="s">
        <v>138</v>
      </c>
      <c r="H101" s="606"/>
      <c r="I101" s="189"/>
      <c r="J101" s="636"/>
      <c r="K101" s="636">
        <v>0</v>
      </c>
      <c r="L101" s="636">
        <v>0</v>
      </c>
      <c r="M101" s="190">
        <v>0</v>
      </c>
      <c r="N101" s="191"/>
      <c r="O101" s="191"/>
      <c r="P101" s="191"/>
      <c r="Q101" s="587" t="s">
        <v>143</v>
      </c>
      <c r="R101" s="191">
        <v>500000000</v>
      </c>
      <c r="S101" s="192" t="s">
        <v>143</v>
      </c>
      <c r="T101" s="1446"/>
      <c r="U101" s="1446"/>
      <c r="V101" s="1446"/>
    </row>
    <row r="102" spans="2:22" s="113" customFormat="1" ht="26.25" customHeight="1" x14ac:dyDescent="0.25">
      <c r="B102" s="59"/>
      <c r="C102" s="39"/>
      <c r="D102" s="140"/>
      <c r="E102" s="749" t="s">
        <v>442</v>
      </c>
      <c r="F102" s="1582" t="s">
        <v>145</v>
      </c>
      <c r="G102" s="1583"/>
      <c r="H102" s="1436" t="s">
        <v>146</v>
      </c>
      <c r="I102" s="200" t="s">
        <v>538</v>
      </c>
      <c r="J102" s="625">
        <f>SUM(J103:J111)</f>
        <v>21200000000</v>
      </c>
      <c r="K102" s="625">
        <f>SUM(K103:K111)</f>
        <v>26200000000</v>
      </c>
      <c r="L102" s="625">
        <f>SUM(L103:L111)</f>
        <v>22200000000</v>
      </c>
      <c r="M102" s="111">
        <f>SUM(M103:M111)</f>
        <v>26158487571</v>
      </c>
      <c r="N102" s="998"/>
      <c r="O102" s="998"/>
      <c r="P102" s="112"/>
      <c r="Q102" s="585"/>
      <c r="R102" s="112"/>
      <c r="S102" s="1383"/>
      <c r="T102" s="926"/>
      <c r="U102" s="926"/>
      <c r="V102" s="926"/>
    </row>
    <row r="103" spans="2:22" s="1182" customFormat="1" ht="12" customHeight="1" x14ac:dyDescent="0.25">
      <c r="B103" s="1170"/>
      <c r="C103" s="1171"/>
      <c r="D103" s="1172"/>
      <c r="E103" s="1485"/>
      <c r="F103" s="1487" t="s">
        <v>46</v>
      </c>
      <c r="G103" s="1175" t="s">
        <v>147</v>
      </c>
      <c r="H103" s="1217"/>
      <c r="I103" s="1177" t="s">
        <v>141</v>
      </c>
      <c r="J103" s="1178">
        <v>5000000000</v>
      </c>
      <c r="K103" s="1178">
        <f>5000000000+500000000</f>
        <v>5500000000</v>
      </c>
      <c r="L103" s="1178">
        <v>5000000000</v>
      </c>
      <c r="M103" s="1179">
        <f>5000000000+500000000</f>
        <v>5500000000</v>
      </c>
      <c r="N103" s="1180"/>
      <c r="O103" s="1180"/>
      <c r="P103" s="1180"/>
      <c r="Q103" s="1200"/>
      <c r="R103" s="1180"/>
      <c r="T103" s="1444"/>
      <c r="U103" s="1444"/>
      <c r="V103" s="1444"/>
    </row>
    <row r="104" spans="2:22" s="1182" customFormat="1" ht="12" customHeight="1" x14ac:dyDescent="0.25">
      <c r="B104" s="1170"/>
      <c r="C104" s="1171"/>
      <c r="D104" s="1172"/>
      <c r="E104" s="1485"/>
      <c r="F104" s="1487" t="s">
        <v>46</v>
      </c>
      <c r="G104" s="1175" t="s">
        <v>149</v>
      </c>
      <c r="H104" s="1217"/>
      <c r="I104" s="1177" t="s">
        <v>141</v>
      </c>
      <c r="J104" s="1178">
        <v>6000000000</v>
      </c>
      <c r="K104" s="1178">
        <v>6000000000</v>
      </c>
      <c r="L104" s="1178">
        <v>6000000000</v>
      </c>
      <c r="M104" s="1179">
        <v>6000000000</v>
      </c>
      <c r="N104" s="1180"/>
      <c r="O104" s="1180"/>
      <c r="P104" s="1180"/>
      <c r="Q104" s="1200"/>
      <c r="R104" s="1180"/>
      <c r="T104" s="1444"/>
      <c r="U104" s="1444"/>
      <c r="V104" s="1444"/>
    </row>
    <row r="105" spans="2:22" s="1182" customFormat="1" ht="12" customHeight="1" x14ac:dyDescent="0.25">
      <c r="B105" s="1170"/>
      <c r="C105" s="1171"/>
      <c r="D105" s="1172"/>
      <c r="E105" s="1485"/>
      <c r="F105" s="1486" t="s">
        <v>46</v>
      </c>
      <c r="G105" s="1175" t="s">
        <v>150</v>
      </c>
      <c r="H105" s="1217"/>
      <c r="I105" s="1177" t="s">
        <v>141</v>
      </c>
      <c r="J105" s="1178">
        <f>3000000000+3000000000</f>
        <v>6000000000</v>
      </c>
      <c r="K105" s="1178">
        <f>3000000000+3000000000</f>
        <v>6000000000</v>
      </c>
      <c r="L105" s="1178">
        <f>3000000000+3000000000</f>
        <v>6000000000</v>
      </c>
      <c r="M105" s="1179">
        <f>3000000000+3000000000</f>
        <v>6000000000</v>
      </c>
      <c r="N105" s="1180"/>
      <c r="O105" s="1180"/>
      <c r="P105" s="1180"/>
      <c r="Q105" s="1200"/>
      <c r="R105" s="1180"/>
      <c r="T105" s="1444"/>
      <c r="U105" s="1444"/>
      <c r="V105" s="1444"/>
    </row>
    <row r="106" spans="2:22" s="1472" customFormat="1" ht="12" customHeight="1" x14ac:dyDescent="0.25">
      <c r="B106" s="1460"/>
      <c r="C106" s="1171"/>
      <c r="D106" s="1172"/>
      <c r="E106" s="1215"/>
      <c r="F106" s="1493" t="s">
        <v>46</v>
      </c>
      <c r="G106" s="1175" t="s">
        <v>394</v>
      </c>
      <c r="H106" s="1217"/>
      <c r="I106" s="1177" t="s">
        <v>141</v>
      </c>
      <c r="J106" s="1178">
        <v>1000000000</v>
      </c>
      <c r="K106" s="1178">
        <f>4500000000+1000000000</f>
        <v>5500000000</v>
      </c>
      <c r="L106" s="1178">
        <f>500000000+1000000000</f>
        <v>1500000000</v>
      </c>
      <c r="M106" s="1179">
        <f>500000000+4500000000+1000000000-3000000000+1958487571</f>
        <v>4958487571</v>
      </c>
      <c r="N106" s="1470"/>
      <c r="O106" s="1470"/>
      <c r="P106" s="1470"/>
      <c r="Q106" s="1471"/>
      <c r="R106" s="1470"/>
      <c r="T106" s="1473"/>
      <c r="U106" s="1473"/>
      <c r="V106" s="1473"/>
    </row>
    <row r="107" spans="2:22" s="1182" customFormat="1" ht="12" customHeight="1" x14ac:dyDescent="0.25">
      <c r="B107" s="1206"/>
      <c r="C107" s="1171"/>
      <c r="D107" s="1172"/>
      <c r="E107" s="1215"/>
      <c r="F107" s="1493" t="s">
        <v>46</v>
      </c>
      <c r="G107" s="1175" t="s">
        <v>484</v>
      </c>
      <c r="H107" s="1217"/>
      <c r="I107" s="1177" t="s">
        <v>399</v>
      </c>
      <c r="J107" s="1178">
        <v>3200000000</v>
      </c>
      <c r="K107" s="1178">
        <v>3200000000</v>
      </c>
      <c r="L107" s="1178">
        <f>500000000+3200000000</f>
        <v>3700000000</v>
      </c>
      <c r="M107" s="1179">
        <f>500000000+3200000000</f>
        <v>3700000000</v>
      </c>
      <c r="N107" s="1205"/>
      <c r="O107" s="1205"/>
      <c r="P107" s="1180"/>
      <c r="Q107" s="1200"/>
      <c r="R107" s="1180"/>
      <c r="T107" s="1444"/>
      <c r="U107" s="1444"/>
      <c r="V107" s="1444"/>
    </row>
    <row r="108" spans="2:22" s="192" customFormat="1" ht="15.75" hidden="1" customHeight="1" x14ac:dyDescent="0.25">
      <c r="B108" s="182"/>
      <c r="C108" s="183"/>
      <c r="D108" s="184"/>
      <c r="E108" s="1136"/>
      <c r="F108" s="1494" t="s">
        <v>46</v>
      </c>
      <c r="G108" s="208" t="s">
        <v>394</v>
      </c>
      <c r="H108" s="606"/>
      <c r="I108" s="189" t="s">
        <v>174</v>
      </c>
      <c r="J108" s="636">
        <v>0</v>
      </c>
      <c r="K108" s="636">
        <v>0</v>
      </c>
      <c r="L108" s="636">
        <v>0</v>
      </c>
      <c r="M108" s="190">
        <v>0</v>
      </c>
      <c r="N108" s="191"/>
      <c r="O108" s="191"/>
      <c r="P108" s="191"/>
      <c r="Q108" s="587" t="s">
        <v>151</v>
      </c>
      <c r="R108" s="191">
        <v>1000000000</v>
      </c>
      <c r="S108" s="192" t="s">
        <v>151</v>
      </c>
      <c r="T108" s="1446"/>
      <c r="U108" s="1446"/>
      <c r="V108" s="1446"/>
    </row>
    <row r="109" spans="2:22" s="192" customFormat="1" ht="15.75" hidden="1" customHeight="1" x14ac:dyDescent="0.25">
      <c r="B109" s="182"/>
      <c r="C109" s="183"/>
      <c r="D109" s="184"/>
      <c r="E109" s="1136"/>
      <c r="F109" s="1494" t="s">
        <v>46</v>
      </c>
      <c r="G109" s="208" t="s">
        <v>152</v>
      </c>
      <c r="H109" s="606"/>
      <c r="I109" s="189" t="s">
        <v>399</v>
      </c>
      <c r="J109" s="636"/>
      <c r="K109" s="636"/>
      <c r="L109" s="636"/>
      <c r="M109" s="190"/>
      <c r="N109" s="191"/>
      <c r="O109" s="191"/>
      <c r="P109" s="191"/>
      <c r="Q109" s="587" t="s">
        <v>151</v>
      </c>
      <c r="R109" s="191">
        <v>1000000000</v>
      </c>
      <c r="S109" s="192" t="s">
        <v>151</v>
      </c>
      <c r="T109" s="1446"/>
      <c r="U109" s="1446"/>
      <c r="V109" s="1446"/>
    </row>
    <row r="110" spans="2:22" s="192" customFormat="1" ht="15.75" hidden="1" customHeight="1" x14ac:dyDescent="0.25">
      <c r="B110" s="182"/>
      <c r="C110" s="183"/>
      <c r="D110" s="184"/>
      <c r="E110" s="1136"/>
      <c r="F110" s="1494" t="s">
        <v>46</v>
      </c>
      <c r="G110" s="208" t="s">
        <v>152</v>
      </c>
      <c r="H110" s="606"/>
      <c r="I110" s="189" t="s">
        <v>399</v>
      </c>
      <c r="J110" s="636"/>
      <c r="K110" s="636"/>
      <c r="L110" s="636"/>
      <c r="M110" s="190"/>
      <c r="N110" s="191"/>
      <c r="O110" s="191"/>
      <c r="P110" s="191"/>
      <c r="Q110" s="587" t="s">
        <v>425</v>
      </c>
      <c r="R110" s="191">
        <v>2000000000</v>
      </c>
      <c r="S110" s="192" t="s">
        <v>425</v>
      </c>
      <c r="T110" s="1446"/>
      <c r="U110" s="1446"/>
      <c r="V110" s="1446"/>
    </row>
    <row r="111" spans="2:22" s="192" customFormat="1" ht="15.75" hidden="1" customHeight="1" x14ac:dyDescent="0.25">
      <c r="B111" s="182"/>
      <c r="C111" s="183"/>
      <c r="D111" s="184"/>
      <c r="E111" s="1136"/>
      <c r="F111" s="1494" t="s">
        <v>46</v>
      </c>
      <c r="G111" s="208" t="s">
        <v>153</v>
      </c>
      <c r="H111" s="606"/>
      <c r="I111" s="189" t="s">
        <v>399</v>
      </c>
      <c r="J111" s="636"/>
      <c r="K111" s="636"/>
      <c r="L111" s="636"/>
      <c r="M111" s="190"/>
      <c r="N111" s="191"/>
      <c r="O111" s="191"/>
      <c r="P111" s="191"/>
      <c r="Q111" s="587" t="s">
        <v>154</v>
      </c>
      <c r="R111" s="191">
        <v>3200000000</v>
      </c>
      <c r="S111" s="192" t="s">
        <v>154</v>
      </c>
      <c r="T111" s="1446"/>
      <c r="U111" s="1446"/>
      <c r="V111" s="1446"/>
    </row>
    <row r="112" spans="2:22" s="62" customFormat="1" ht="25.5" customHeight="1" x14ac:dyDescent="0.25">
      <c r="B112" s="59"/>
      <c r="C112" s="39"/>
      <c r="D112" s="140"/>
      <c r="E112" s="749" t="s">
        <v>443</v>
      </c>
      <c r="F112" s="1718" t="s">
        <v>155</v>
      </c>
      <c r="G112" s="1719"/>
      <c r="H112" s="469" t="s">
        <v>156</v>
      </c>
      <c r="I112" s="200" t="s">
        <v>109</v>
      </c>
      <c r="J112" s="626">
        <f>SUM(J113:J114)</f>
        <v>13500000000</v>
      </c>
      <c r="K112" s="626">
        <f>SUM(K113:K114)</f>
        <v>13500000000</v>
      </c>
      <c r="L112" s="626">
        <f>SUM(L113:L114)</f>
        <v>13500000000</v>
      </c>
      <c r="M112" s="117">
        <f>SUM(M113:M114)</f>
        <v>13500000000</v>
      </c>
      <c r="N112" s="118"/>
      <c r="O112" s="118"/>
      <c r="P112" s="118"/>
      <c r="Q112" s="586"/>
      <c r="R112" s="118"/>
      <c r="T112" s="731"/>
      <c r="U112" s="731"/>
      <c r="V112" s="731"/>
    </row>
    <row r="113" spans="2:22" s="1182" customFormat="1" ht="12" customHeight="1" x14ac:dyDescent="0.25">
      <c r="B113" s="1170"/>
      <c r="C113" s="1171"/>
      <c r="D113" s="1172"/>
      <c r="E113" s="1485"/>
      <c r="F113" s="1486" t="s">
        <v>46</v>
      </c>
      <c r="G113" s="1175" t="s">
        <v>157</v>
      </c>
      <c r="H113" s="1217"/>
      <c r="I113" s="1177" t="s">
        <v>111</v>
      </c>
      <c r="J113" s="1178">
        <v>7500000000</v>
      </c>
      <c r="K113" s="1178">
        <v>7500000000</v>
      </c>
      <c r="L113" s="1178">
        <v>7500000000</v>
      </c>
      <c r="M113" s="1179">
        <v>7500000000</v>
      </c>
      <c r="N113" s="1180"/>
      <c r="O113" s="1180"/>
      <c r="P113" s="1180"/>
      <c r="Q113" s="1200"/>
      <c r="R113" s="1180"/>
      <c r="T113" s="1444"/>
      <c r="U113" s="1444"/>
      <c r="V113" s="1444"/>
    </row>
    <row r="114" spans="2:22" s="1213" customFormat="1" ht="12" customHeight="1" x14ac:dyDescent="0.25">
      <c r="B114" s="1170"/>
      <c r="C114" s="1209"/>
      <c r="D114" s="1210"/>
      <c r="E114" s="1215"/>
      <c r="F114" s="1487" t="s">
        <v>46</v>
      </c>
      <c r="G114" s="1175" t="s">
        <v>158</v>
      </c>
      <c r="H114" s="1217"/>
      <c r="I114" s="1177" t="s">
        <v>148</v>
      </c>
      <c r="J114" s="1178">
        <v>6000000000</v>
      </c>
      <c r="K114" s="1178">
        <v>6000000000</v>
      </c>
      <c r="L114" s="1178">
        <v>6000000000</v>
      </c>
      <c r="M114" s="1179">
        <v>6000000000</v>
      </c>
      <c r="N114" s="1211"/>
      <c r="O114" s="1211"/>
      <c r="P114" s="1211"/>
      <c r="Q114" s="1212"/>
      <c r="R114" s="1211"/>
      <c r="T114" s="1447"/>
      <c r="U114" s="1447"/>
      <c r="V114" s="1447"/>
    </row>
    <row r="115" spans="2:22" s="62" customFormat="1" ht="24.75" customHeight="1" x14ac:dyDescent="0.25">
      <c r="B115" s="59"/>
      <c r="C115" s="39"/>
      <c r="D115" s="140"/>
      <c r="E115" s="749" t="s">
        <v>444</v>
      </c>
      <c r="F115" s="1582" t="s">
        <v>160</v>
      </c>
      <c r="G115" s="1583"/>
      <c r="H115" s="1436" t="s">
        <v>161</v>
      </c>
      <c r="I115" s="200" t="s">
        <v>539</v>
      </c>
      <c r="J115" s="630">
        <f>SUM(J116:J119)</f>
        <v>14450000000</v>
      </c>
      <c r="K115" s="630">
        <f>SUM(K116:K119)</f>
        <v>14450000000</v>
      </c>
      <c r="L115" s="630">
        <f>SUM(L116:L119)</f>
        <v>14450000000</v>
      </c>
      <c r="M115" s="146">
        <f>SUM(M116:M119)</f>
        <v>14450000000</v>
      </c>
      <c r="N115" s="147"/>
      <c r="O115" s="147"/>
      <c r="P115" s="147"/>
      <c r="Q115" s="586"/>
      <c r="R115" s="118"/>
      <c r="T115" s="731"/>
      <c r="U115" s="731"/>
      <c r="V115" s="731"/>
    </row>
    <row r="116" spans="2:22" s="1182" customFormat="1" ht="12" customHeight="1" x14ac:dyDescent="0.25">
      <c r="B116" s="1170"/>
      <c r="C116" s="1171"/>
      <c r="D116" s="1172"/>
      <c r="E116" s="1495"/>
      <c r="F116" s="1486" t="s">
        <v>46</v>
      </c>
      <c r="G116" s="1140" t="s">
        <v>162</v>
      </c>
      <c r="H116" s="1217"/>
      <c r="I116" s="1177" t="s">
        <v>141</v>
      </c>
      <c r="J116" s="1178">
        <f>7500000000+450000000</f>
        <v>7950000000</v>
      </c>
      <c r="K116" s="1178">
        <f>7500000000+450000000</f>
        <v>7950000000</v>
      </c>
      <c r="L116" s="1178">
        <f>7500000000+450000000</f>
        <v>7950000000</v>
      </c>
      <c r="M116" s="1179">
        <f>7500000000+450000000</f>
        <v>7950000000</v>
      </c>
      <c r="N116" s="1180"/>
      <c r="O116" s="1180"/>
      <c r="P116" s="1180"/>
      <c r="Q116" s="1200"/>
      <c r="R116" s="1180"/>
      <c r="T116" s="1444"/>
      <c r="U116" s="1444"/>
      <c r="V116" s="1444"/>
    </row>
    <row r="117" spans="2:22" s="1182" customFormat="1" ht="12" customHeight="1" x14ac:dyDescent="0.25">
      <c r="B117" s="1170"/>
      <c r="C117" s="1171"/>
      <c r="D117" s="1172"/>
      <c r="E117" s="1485"/>
      <c r="F117" s="1486" t="s">
        <v>46</v>
      </c>
      <c r="G117" s="1140" t="s">
        <v>163</v>
      </c>
      <c r="H117" s="1217"/>
      <c r="I117" s="1177" t="s">
        <v>111</v>
      </c>
      <c r="J117" s="1178">
        <v>3000000000</v>
      </c>
      <c r="K117" s="1178">
        <v>3000000000</v>
      </c>
      <c r="L117" s="1178">
        <v>3000000000</v>
      </c>
      <c r="M117" s="1179">
        <v>3000000000</v>
      </c>
      <c r="N117" s="1180"/>
      <c r="O117" s="1180"/>
      <c r="P117" s="1180"/>
      <c r="Q117" s="1200"/>
      <c r="R117" s="1180"/>
      <c r="T117" s="1444"/>
      <c r="U117" s="1444"/>
      <c r="V117" s="1444"/>
    </row>
    <row r="118" spans="2:22" s="1213" customFormat="1" ht="12" customHeight="1" x14ac:dyDescent="0.25">
      <c r="B118" s="1170"/>
      <c r="C118" s="1209"/>
      <c r="D118" s="1210"/>
      <c r="E118" s="1215"/>
      <c r="F118" s="1216" t="s">
        <v>46</v>
      </c>
      <c r="G118" s="1140" t="s">
        <v>164</v>
      </c>
      <c r="H118" s="1217"/>
      <c r="I118" s="1177" t="s">
        <v>165</v>
      </c>
      <c r="J118" s="1178">
        <v>3500000000</v>
      </c>
      <c r="K118" s="1178">
        <v>3500000000</v>
      </c>
      <c r="L118" s="1178">
        <v>3500000000</v>
      </c>
      <c r="M118" s="1179">
        <v>3500000000</v>
      </c>
      <c r="N118" s="1211"/>
      <c r="O118" s="1211"/>
      <c r="P118" s="1211"/>
      <c r="Q118" s="1212"/>
      <c r="R118" s="1211"/>
      <c r="T118" s="1447"/>
      <c r="U118" s="1447"/>
      <c r="V118" s="1447"/>
    </row>
    <row r="119" spans="2:22" s="192" customFormat="1" ht="18" hidden="1" customHeight="1" x14ac:dyDescent="0.25">
      <c r="B119" s="182"/>
      <c r="C119" s="183"/>
      <c r="D119" s="184"/>
      <c r="E119" s="754"/>
      <c r="F119" s="757"/>
      <c r="G119" s="139" t="s">
        <v>162</v>
      </c>
      <c r="H119" s="601"/>
      <c r="I119" s="176" t="s">
        <v>395</v>
      </c>
      <c r="J119" s="635"/>
      <c r="K119" s="635"/>
      <c r="L119" s="635"/>
      <c r="M119" s="177"/>
      <c r="N119" s="191"/>
      <c r="O119" s="191"/>
      <c r="P119" s="191"/>
      <c r="Q119" s="587" t="s">
        <v>166</v>
      </c>
      <c r="R119" s="191">
        <v>450000000</v>
      </c>
      <c r="S119" s="192" t="s">
        <v>166</v>
      </c>
      <c r="T119" s="1446"/>
      <c r="U119" s="1446"/>
      <c r="V119" s="1446"/>
    </row>
    <row r="120" spans="2:22" s="62" customFormat="1" ht="27" customHeight="1" x14ac:dyDescent="0.25">
      <c r="B120" s="59"/>
      <c r="C120" s="39"/>
      <c r="D120" s="140"/>
      <c r="E120" s="749" t="s">
        <v>445</v>
      </c>
      <c r="F120" s="1582" t="s">
        <v>167</v>
      </c>
      <c r="G120" s="1583"/>
      <c r="H120" s="469" t="s">
        <v>168</v>
      </c>
      <c r="I120" s="756" t="s">
        <v>541</v>
      </c>
      <c r="J120" s="630">
        <f>SUM(J121:J125)</f>
        <v>11065000000</v>
      </c>
      <c r="K120" s="630">
        <f>SUM(K121:K125)</f>
        <v>11065000000</v>
      </c>
      <c r="L120" s="630">
        <f>SUM(L121:L125)</f>
        <v>11565000000</v>
      </c>
      <c r="M120" s="146">
        <f>SUM(M121:M125)</f>
        <v>11865000000</v>
      </c>
      <c r="N120" s="999"/>
      <c r="O120" s="999"/>
      <c r="P120" s="147"/>
      <c r="Q120" s="589"/>
      <c r="R120" s="118"/>
      <c r="S120" s="179"/>
      <c r="T120" s="731"/>
      <c r="U120" s="731"/>
      <c r="V120" s="731"/>
    </row>
    <row r="121" spans="2:22" s="1182" customFormat="1" ht="11.25" customHeight="1" x14ac:dyDescent="0.25">
      <c r="B121" s="1170"/>
      <c r="C121" s="1171"/>
      <c r="D121" s="1172"/>
      <c r="E121" s="1485"/>
      <c r="F121" s="1486" t="s">
        <v>46</v>
      </c>
      <c r="G121" s="1175" t="s">
        <v>150</v>
      </c>
      <c r="H121" s="1217"/>
      <c r="I121" s="1177" t="s">
        <v>540</v>
      </c>
      <c r="J121" s="1178">
        <f>4000000000+215000000</f>
        <v>4215000000</v>
      </c>
      <c r="K121" s="1178">
        <f>4000000000+215000000</f>
        <v>4215000000</v>
      </c>
      <c r="L121" s="1178">
        <f>4000000000+215000000</f>
        <v>4215000000</v>
      </c>
      <c r="M121" s="1179">
        <f>4000000000+215000000</f>
        <v>4215000000</v>
      </c>
      <c r="N121" s="1180"/>
      <c r="O121" s="1180"/>
      <c r="P121" s="1180"/>
      <c r="Q121" s="1200"/>
      <c r="R121" s="1180"/>
      <c r="T121" s="1444"/>
      <c r="U121" s="1444"/>
      <c r="V121" s="1444"/>
    </row>
    <row r="122" spans="2:22" s="1182" customFormat="1" ht="11.25" customHeight="1" x14ac:dyDescent="0.25">
      <c r="B122" s="1170"/>
      <c r="C122" s="1171"/>
      <c r="D122" s="1172"/>
      <c r="E122" s="1485"/>
      <c r="F122" s="1486" t="s">
        <v>46</v>
      </c>
      <c r="G122" s="1175" t="s">
        <v>525</v>
      </c>
      <c r="H122" s="1217"/>
      <c r="I122" s="1177" t="s">
        <v>148</v>
      </c>
      <c r="J122" s="1178">
        <v>6000000000</v>
      </c>
      <c r="K122" s="1178">
        <v>6000000000</v>
      </c>
      <c r="L122" s="1178">
        <v>6000000000</v>
      </c>
      <c r="M122" s="1179">
        <v>6000000000</v>
      </c>
      <c r="N122" s="1180"/>
      <c r="O122" s="1180"/>
      <c r="P122" s="1180"/>
      <c r="Q122" s="1200"/>
      <c r="R122" s="1180"/>
      <c r="T122" s="1444"/>
      <c r="U122" s="1444"/>
      <c r="V122" s="1444"/>
    </row>
    <row r="123" spans="2:22" s="1182" customFormat="1" ht="11.25" customHeight="1" x14ac:dyDescent="0.25">
      <c r="B123" s="1206"/>
      <c r="C123" s="1171"/>
      <c r="D123" s="1172"/>
      <c r="E123" s="1215"/>
      <c r="F123" s="1216" t="s">
        <v>46</v>
      </c>
      <c r="G123" s="1175" t="s">
        <v>546</v>
      </c>
      <c r="H123" s="1217"/>
      <c r="I123" s="1496" t="s">
        <v>111</v>
      </c>
      <c r="J123" s="1178">
        <v>850000000</v>
      </c>
      <c r="K123" s="1178">
        <v>850000000</v>
      </c>
      <c r="L123" s="1178">
        <f>500000000+850000000</f>
        <v>1350000000</v>
      </c>
      <c r="M123" s="1179">
        <f>500000000+850000000+300000000</f>
        <v>1650000000</v>
      </c>
      <c r="N123" s="1205"/>
      <c r="O123" s="1205"/>
      <c r="P123" s="1180"/>
      <c r="Q123" s="1200"/>
      <c r="R123" s="1180"/>
      <c r="T123" s="1444">
        <v>2350000000</v>
      </c>
      <c r="U123" s="1444"/>
      <c r="V123" s="1444"/>
    </row>
    <row r="124" spans="2:22" s="192" customFormat="1" ht="15.75" hidden="1" customHeight="1" x14ac:dyDescent="0.25">
      <c r="B124" s="182"/>
      <c r="C124" s="183"/>
      <c r="D124" s="184"/>
      <c r="E124" s="754"/>
      <c r="F124" s="757" t="s">
        <v>46</v>
      </c>
      <c r="G124" s="175" t="s">
        <v>170</v>
      </c>
      <c r="H124" s="601"/>
      <c r="I124" s="758" t="s">
        <v>401</v>
      </c>
      <c r="J124" s="635"/>
      <c r="K124" s="635"/>
      <c r="L124" s="635"/>
      <c r="M124" s="177"/>
      <c r="N124" s="191"/>
      <c r="O124" s="191"/>
      <c r="P124" s="191"/>
      <c r="Q124" s="587" t="s">
        <v>134</v>
      </c>
      <c r="R124" s="191">
        <v>850000000</v>
      </c>
      <c r="S124" s="192" t="s">
        <v>134</v>
      </c>
      <c r="T124" s="1446"/>
      <c r="U124" s="1446"/>
      <c r="V124" s="1446"/>
    </row>
    <row r="125" spans="2:22" s="192" customFormat="1" ht="15.75" hidden="1" customHeight="1" x14ac:dyDescent="0.25">
      <c r="B125" s="182"/>
      <c r="C125" s="183"/>
      <c r="D125" s="184"/>
      <c r="E125" s="754"/>
      <c r="F125" s="757" t="s">
        <v>46</v>
      </c>
      <c r="G125" s="175" t="s">
        <v>150</v>
      </c>
      <c r="H125" s="601"/>
      <c r="I125" s="1497" t="s">
        <v>402</v>
      </c>
      <c r="J125" s="635"/>
      <c r="K125" s="635"/>
      <c r="L125" s="635"/>
      <c r="M125" s="177"/>
      <c r="N125" s="191"/>
      <c r="O125" s="191"/>
      <c r="P125" s="191"/>
      <c r="Q125" s="587" t="s">
        <v>171</v>
      </c>
      <c r="R125" s="191">
        <v>215000000</v>
      </c>
      <c r="S125" s="192" t="s">
        <v>171</v>
      </c>
      <c r="T125" s="1446"/>
      <c r="U125" s="1446"/>
      <c r="V125" s="1446"/>
    </row>
    <row r="126" spans="2:22" s="62" customFormat="1" ht="31.5" customHeight="1" x14ac:dyDescent="0.25">
      <c r="B126" s="59"/>
      <c r="C126" s="39"/>
      <c r="D126" s="140"/>
      <c r="E126" s="749" t="s">
        <v>446</v>
      </c>
      <c r="F126" s="1582" t="s">
        <v>172</v>
      </c>
      <c r="G126" s="1583"/>
      <c r="H126" s="469" t="s">
        <v>173</v>
      </c>
      <c r="I126" s="200" t="str">
        <f>I127</f>
        <v>2,5 Km</v>
      </c>
      <c r="J126" s="630">
        <f>J127</f>
        <v>3000000000</v>
      </c>
      <c r="K126" s="630">
        <f>K127</f>
        <v>9000000000</v>
      </c>
      <c r="L126" s="630">
        <f>L127</f>
        <v>3000000000</v>
      </c>
      <c r="M126" s="146">
        <f>M127</f>
        <v>6000000000</v>
      </c>
      <c r="N126" s="147"/>
      <c r="O126" s="147"/>
      <c r="P126" s="147"/>
      <c r="Q126" s="586"/>
      <c r="R126" s="118"/>
      <c r="T126" s="731"/>
      <c r="U126" s="731"/>
      <c r="V126" s="731"/>
    </row>
    <row r="127" spans="2:22" s="1182" customFormat="1" ht="11.25" customHeight="1" x14ac:dyDescent="0.25">
      <c r="B127" s="1170"/>
      <c r="C127" s="1171"/>
      <c r="D127" s="1172"/>
      <c r="E127" s="1485"/>
      <c r="F127" s="1487" t="s">
        <v>46</v>
      </c>
      <c r="G127" s="1175" t="s">
        <v>175</v>
      </c>
      <c r="H127" s="1217"/>
      <c r="I127" s="1177" t="s">
        <v>109</v>
      </c>
      <c r="J127" s="1220">
        <v>3000000000</v>
      </c>
      <c r="K127" s="1220">
        <f>3000000000+6000000000</f>
        <v>9000000000</v>
      </c>
      <c r="L127" s="1220">
        <v>3000000000</v>
      </c>
      <c r="M127" s="1222">
        <f>3000000000+6000000000-3000000000</f>
        <v>6000000000</v>
      </c>
      <c r="N127" s="1223"/>
      <c r="O127" s="1223"/>
      <c r="P127" s="1223"/>
      <c r="Q127" s="1200"/>
      <c r="R127" s="1223"/>
      <c r="T127" s="1444"/>
      <c r="U127" s="1444"/>
      <c r="V127" s="1444"/>
    </row>
    <row r="128" spans="2:22" s="113" customFormat="1" ht="29.25" customHeight="1" x14ac:dyDescent="0.25">
      <c r="B128" s="59"/>
      <c r="C128" s="39"/>
      <c r="D128" s="140"/>
      <c r="E128" s="749" t="s">
        <v>447</v>
      </c>
      <c r="F128" s="1582" t="s">
        <v>176</v>
      </c>
      <c r="G128" s="1583"/>
      <c r="H128" s="469" t="s">
        <v>177</v>
      </c>
      <c r="I128" s="200" t="str">
        <f>I129</f>
        <v>1,25 Km</v>
      </c>
      <c r="J128" s="625">
        <f>SUM(J129)</f>
        <v>5000000000</v>
      </c>
      <c r="K128" s="625">
        <f>SUM(K129)</f>
        <v>5000000000</v>
      </c>
      <c r="L128" s="625">
        <f>SUM(L129)</f>
        <v>5000000000</v>
      </c>
      <c r="M128" s="111">
        <f>SUM(M129)</f>
        <v>5000000000</v>
      </c>
      <c r="N128" s="112"/>
      <c r="O128" s="112"/>
      <c r="P128" s="112"/>
      <c r="Q128" s="585"/>
      <c r="R128" s="112"/>
      <c r="T128" s="926"/>
      <c r="U128" s="926"/>
      <c r="V128" s="926"/>
    </row>
    <row r="129" spans="2:22" s="1182" customFormat="1" ht="11.25" customHeight="1" x14ac:dyDescent="0.25">
      <c r="B129" s="1170"/>
      <c r="C129" s="1171"/>
      <c r="D129" s="1172"/>
      <c r="E129" s="1498"/>
      <c r="F129" s="1487" t="s">
        <v>46</v>
      </c>
      <c r="G129" s="1175" t="s">
        <v>178</v>
      </c>
      <c r="H129" s="1217"/>
      <c r="I129" s="1499" t="s">
        <v>542</v>
      </c>
      <c r="J129" s="1226">
        <v>5000000000</v>
      </c>
      <c r="K129" s="1226">
        <v>5000000000</v>
      </c>
      <c r="L129" s="1226">
        <v>5000000000</v>
      </c>
      <c r="M129" s="1227">
        <v>5000000000</v>
      </c>
      <c r="N129" s="1228"/>
      <c r="O129" s="1228"/>
      <c r="P129" s="1228"/>
      <c r="Q129" s="1200"/>
      <c r="R129" s="1229"/>
      <c r="T129" s="1444"/>
      <c r="U129" s="1444"/>
      <c r="V129" s="1444"/>
    </row>
    <row r="130" spans="2:22" s="113" customFormat="1" ht="24" customHeight="1" x14ac:dyDescent="0.25">
      <c r="B130" s="59"/>
      <c r="C130" s="39"/>
      <c r="D130" s="140"/>
      <c r="E130" s="749" t="s">
        <v>389</v>
      </c>
      <c r="F130" s="1582" t="s">
        <v>179</v>
      </c>
      <c r="G130" s="1583"/>
      <c r="H130" s="469" t="s">
        <v>180</v>
      </c>
      <c r="I130" s="200" t="str">
        <f>I131</f>
        <v>1,5 Km</v>
      </c>
      <c r="J130" s="625">
        <f>SUM(J131)</f>
        <v>12000000000</v>
      </c>
      <c r="K130" s="625">
        <f>SUM(K131)</f>
        <v>12000000000</v>
      </c>
      <c r="L130" s="625">
        <f>SUM(L131)</f>
        <v>12000000000</v>
      </c>
      <c r="M130" s="111">
        <f>SUM(M131)</f>
        <v>12000000000</v>
      </c>
      <c r="N130" s="112"/>
      <c r="O130" s="112"/>
      <c r="P130" s="112"/>
      <c r="Q130" s="585"/>
      <c r="R130" s="112"/>
      <c r="T130" s="926"/>
      <c r="U130" s="926"/>
      <c r="V130" s="926"/>
    </row>
    <row r="131" spans="2:22" s="1182" customFormat="1" ht="11.25" customHeight="1" x14ac:dyDescent="0.25">
      <c r="B131" s="1170"/>
      <c r="C131" s="1171"/>
      <c r="D131" s="1172"/>
      <c r="E131" s="1485"/>
      <c r="F131" s="1487" t="s">
        <v>46</v>
      </c>
      <c r="G131" s="1500" t="s">
        <v>468</v>
      </c>
      <c r="H131" s="1217"/>
      <c r="I131" s="1177" t="s">
        <v>148</v>
      </c>
      <c r="J131" s="1178">
        <v>12000000000</v>
      </c>
      <c r="K131" s="1178">
        <v>12000000000</v>
      </c>
      <c r="L131" s="1178">
        <v>12000000000</v>
      </c>
      <c r="M131" s="1179">
        <v>12000000000</v>
      </c>
      <c r="N131" s="1180"/>
      <c r="O131" s="1180"/>
      <c r="P131" s="1180"/>
      <c r="Q131" s="1200"/>
      <c r="R131" s="1180"/>
      <c r="T131" s="1444"/>
      <c r="U131" s="1444"/>
      <c r="V131" s="1444"/>
    </row>
    <row r="132" spans="2:22" s="62" customFormat="1" ht="27.75" customHeight="1" x14ac:dyDescent="0.25">
      <c r="B132" s="59"/>
      <c r="C132" s="39"/>
      <c r="D132" s="140"/>
      <c r="E132" s="749" t="s">
        <v>448</v>
      </c>
      <c r="F132" s="1582" t="s">
        <v>181</v>
      </c>
      <c r="G132" s="1583"/>
      <c r="H132" s="469" t="s">
        <v>182</v>
      </c>
      <c r="I132" s="200" t="s">
        <v>543</v>
      </c>
      <c r="J132" s="626">
        <f>SUM(J133:J136)</f>
        <v>8700000000</v>
      </c>
      <c r="K132" s="626">
        <f>SUM(K133:K136)</f>
        <v>8700000000</v>
      </c>
      <c r="L132" s="626">
        <f>SUM(L133:L136)</f>
        <v>8700000000</v>
      </c>
      <c r="M132" s="117">
        <f>SUM(M133:M136)</f>
        <v>12700000000</v>
      </c>
      <c r="N132" s="118"/>
      <c r="O132" s="118"/>
      <c r="P132" s="118"/>
      <c r="Q132" s="589"/>
      <c r="R132" s="118"/>
      <c r="S132" s="179"/>
      <c r="T132" s="731"/>
      <c r="U132" s="731"/>
      <c r="V132" s="731"/>
    </row>
    <row r="133" spans="2:22" s="1182" customFormat="1" ht="11.25" customHeight="1" x14ac:dyDescent="0.25">
      <c r="B133" s="1170"/>
      <c r="C133" s="1171"/>
      <c r="D133" s="1172"/>
      <c r="E133" s="1485"/>
      <c r="F133" s="1486" t="s">
        <v>46</v>
      </c>
      <c r="G133" s="1175" t="s">
        <v>424</v>
      </c>
      <c r="H133" s="1217"/>
      <c r="I133" s="1177" t="s">
        <v>451</v>
      </c>
      <c r="J133" s="1178">
        <v>3000000000</v>
      </c>
      <c r="K133" s="1178">
        <v>3000000000</v>
      </c>
      <c r="L133" s="1178">
        <v>3000000000</v>
      </c>
      <c r="M133" s="1179">
        <v>3000000000</v>
      </c>
      <c r="N133" s="1180"/>
      <c r="O133" s="1180"/>
      <c r="P133" s="1180"/>
      <c r="Q133" s="1200"/>
      <c r="R133" s="1180"/>
      <c r="T133" s="1444"/>
      <c r="U133" s="1444"/>
      <c r="V133" s="1444"/>
    </row>
    <row r="134" spans="2:22" s="1182" customFormat="1" ht="11.25" customHeight="1" x14ac:dyDescent="0.25">
      <c r="B134" s="1170"/>
      <c r="C134" s="1171"/>
      <c r="D134" s="1172"/>
      <c r="E134" s="1485"/>
      <c r="F134" s="1486" t="s">
        <v>46</v>
      </c>
      <c r="G134" s="1175" t="s">
        <v>183</v>
      </c>
      <c r="H134" s="1217"/>
      <c r="I134" s="1231" t="s">
        <v>148</v>
      </c>
      <c r="J134" s="1178">
        <f>500000000+4000000000+1200000000</f>
        <v>5700000000</v>
      </c>
      <c r="K134" s="1178">
        <f>500000000+4000000000+1200000000</f>
        <v>5700000000</v>
      </c>
      <c r="L134" s="1178">
        <f>500000000+4000000000+1200000000</f>
        <v>5700000000</v>
      </c>
      <c r="M134" s="1179">
        <f>500000000+4000000000+1200000000+4000000000</f>
        <v>9700000000</v>
      </c>
      <c r="N134" s="1180"/>
      <c r="O134" s="1180"/>
      <c r="P134" s="1180"/>
      <c r="Q134" s="1200"/>
      <c r="R134" s="1180"/>
      <c r="T134" s="1444"/>
      <c r="U134" s="1444"/>
      <c r="V134" s="1444"/>
    </row>
    <row r="135" spans="2:22" s="192" customFormat="1" hidden="1" x14ac:dyDescent="0.25">
      <c r="B135" s="59"/>
      <c r="C135" s="183"/>
      <c r="D135" s="184"/>
      <c r="E135" s="1136"/>
      <c r="F135" s="223" t="s">
        <v>46</v>
      </c>
      <c r="G135" s="208" t="s">
        <v>183</v>
      </c>
      <c r="H135" s="606"/>
      <c r="I135" s="189" t="s">
        <v>159</v>
      </c>
      <c r="J135" s="636"/>
      <c r="K135" s="636"/>
      <c r="L135" s="636"/>
      <c r="M135" s="190"/>
      <c r="N135" s="191"/>
      <c r="O135" s="191"/>
      <c r="P135" s="191"/>
      <c r="Q135" s="587" t="s">
        <v>184</v>
      </c>
      <c r="R135" s="191">
        <v>4000000000</v>
      </c>
      <c r="S135" s="192" t="s">
        <v>184</v>
      </c>
      <c r="T135" s="1446"/>
      <c r="U135" s="1446"/>
      <c r="V135" s="1446"/>
    </row>
    <row r="136" spans="2:22" s="192" customFormat="1" hidden="1" x14ac:dyDescent="0.25">
      <c r="B136" s="182"/>
      <c r="C136" s="183"/>
      <c r="D136" s="184"/>
      <c r="E136" s="222"/>
      <c r="F136" s="223" t="s">
        <v>46</v>
      </c>
      <c r="G136" s="208" t="s">
        <v>183</v>
      </c>
      <c r="H136" s="606"/>
      <c r="I136" s="478" t="s">
        <v>174</v>
      </c>
      <c r="J136" s="636"/>
      <c r="K136" s="636"/>
      <c r="L136" s="636"/>
      <c r="M136" s="190"/>
      <c r="N136" s="191"/>
      <c r="O136" s="191"/>
      <c r="P136" s="191"/>
      <c r="Q136" s="587" t="s">
        <v>185</v>
      </c>
      <c r="R136" s="191">
        <v>1200000000</v>
      </c>
      <c r="S136" s="192" t="s">
        <v>185</v>
      </c>
      <c r="T136" s="1446"/>
      <c r="U136" s="1446"/>
      <c r="V136" s="1446"/>
    </row>
    <row r="137" spans="2:22" s="29" customFormat="1" ht="26.25" customHeight="1" x14ac:dyDescent="0.25">
      <c r="B137" s="13"/>
      <c r="C137" s="39"/>
      <c r="D137" s="140"/>
      <c r="E137" s="749" t="s">
        <v>449</v>
      </c>
      <c r="F137" s="1718" t="s">
        <v>186</v>
      </c>
      <c r="G137" s="1719"/>
      <c r="H137" s="469" t="s">
        <v>187</v>
      </c>
      <c r="I137" s="224" t="s">
        <v>109</v>
      </c>
      <c r="J137" s="630">
        <f>SUM(J138:J141)</f>
        <v>11500000000</v>
      </c>
      <c r="K137" s="630">
        <f>SUM(K138:K141)</f>
        <v>11500000000</v>
      </c>
      <c r="L137" s="630">
        <f>SUM(L138:L141)</f>
        <v>11500000000</v>
      </c>
      <c r="M137" s="146">
        <f>SUM(M138:M141)</f>
        <v>9400000000</v>
      </c>
      <c r="N137" s="147"/>
      <c r="O137" s="147"/>
      <c r="P137" s="147"/>
      <c r="Q137" s="590"/>
      <c r="R137" s="118"/>
      <c r="T137" s="396"/>
      <c r="U137" s="396"/>
      <c r="V137" s="396"/>
    </row>
    <row r="138" spans="2:22" s="1182" customFormat="1" ht="11.25" customHeight="1" x14ac:dyDescent="0.25">
      <c r="B138" s="1170"/>
      <c r="C138" s="1171"/>
      <c r="D138" s="1172"/>
      <c r="E138" s="1485"/>
      <c r="F138" s="1232" t="s">
        <v>46</v>
      </c>
      <c r="G138" s="1140" t="s">
        <v>423</v>
      </c>
      <c r="H138" s="1217"/>
      <c r="I138" s="1177" t="s">
        <v>111</v>
      </c>
      <c r="J138" s="1233">
        <f>2000000000+1000000000+1000000000</f>
        <v>4000000000</v>
      </c>
      <c r="K138" s="1233">
        <f>2000000000+1000000000+1000000000</f>
        <v>4000000000</v>
      </c>
      <c r="L138" s="1233">
        <f>2000000000+1000000000+1000000000</f>
        <v>4000000000</v>
      </c>
      <c r="M138" s="1234">
        <f>2000000000+1000000000+1000000000</f>
        <v>4000000000</v>
      </c>
      <c r="N138" s="1235"/>
      <c r="O138" s="1235"/>
      <c r="P138" s="1235"/>
      <c r="Q138" s="1200"/>
      <c r="R138" s="1223"/>
      <c r="T138" s="1444"/>
      <c r="U138" s="1444"/>
      <c r="V138" s="1444"/>
    </row>
    <row r="139" spans="2:22" s="1182" customFormat="1" ht="11.25" customHeight="1" x14ac:dyDescent="0.25">
      <c r="B139" s="1170"/>
      <c r="C139" s="1171"/>
      <c r="D139" s="1172"/>
      <c r="E139" s="1173"/>
      <c r="F139" s="1183" t="s">
        <v>46</v>
      </c>
      <c r="G139" s="1202" t="s">
        <v>140</v>
      </c>
      <c r="H139" s="1176"/>
      <c r="I139" s="1203" t="s">
        <v>148</v>
      </c>
      <c r="J139" s="1178">
        <v>7500000000</v>
      </c>
      <c r="K139" s="1178">
        <v>7500000000</v>
      </c>
      <c r="L139" s="1178">
        <v>7500000000</v>
      </c>
      <c r="M139" s="1179">
        <f>7500000000-3000000000+900000000</f>
        <v>5400000000</v>
      </c>
      <c r="N139" s="1180"/>
      <c r="O139" s="1180"/>
      <c r="P139" s="1180"/>
      <c r="Q139" s="1200"/>
      <c r="R139" s="1180"/>
      <c r="T139" s="1444"/>
      <c r="U139" s="1444"/>
      <c r="V139" s="1444"/>
    </row>
    <row r="140" spans="2:22" s="192" customFormat="1" ht="15" hidden="1" customHeight="1" x14ac:dyDescent="0.25">
      <c r="B140" s="182"/>
      <c r="C140" s="183"/>
      <c r="D140" s="184"/>
      <c r="E140" s="185"/>
      <c r="F140" s="186"/>
      <c r="G140" s="202" t="s">
        <v>188</v>
      </c>
      <c r="H140" s="603"/>
      <c r="I140" s="203" t="s">
        <v>144</v>
      </c>
      <c r="J140" s="636"/>
      <c r="K140" s="636"/>
      <c r="L140" s="636"/>
      <c r="M140" s="190"/>
      <c r="N140" s="191"/>
      <c r="O140" s="191"/>
      <c r="P140" s="191"/>
      <c r="Q140" s="587" t="s">
        <v>421</v>
      </c>
      <c r="R140" s="191">
        <v>1000000000</v>
      </c>
      <c r="S140" s="192" t="s">
        <v>421</v>
      </c>
      <c r="T140" s="1446"/>
      <c r="U140" s="1446"/>
      <c r="V140" s="1446"/>
    </row>
    <row r="141" spans="2:22" s="192" customFormat="1" ht="15" hidden="1" customHeight="1" x14ac:dyDescent="0.25">
      <c r="B141" s="182"/>
      <c r="C141" s="183"/>
      <c r="D141" s="184"/>
      <c r="E141" s="185"/>
      <c r="F141" s="186"/>
      <c r="G141" s="202" t="s">
        <v>188</v>
      </c>
      <c r="H141" s="603"/>
      <c r="I141" s="203" t="s">
        <v>144</v>
      </c>
      <c r="J141" s="636"/>
      <c r="K141" s="636"/>
      <c r="L141" s="636"/>
      <c r="M141" s="190"/>
      <c r="N141" s="191"/>
      <c r="O141" s="191"/>
      <c r="P141" s="191"/>
      <c r="Q141" s="587" t="s">
        <v>422</v>
      </c>
      <c r="R141" s="191">
        <v>1000000000</v>
      </c>
      <c r="S141" s="192" t="s">
        <v>422</v>
      </c>
      <c r="T141" s="1446"/>
      <c r="U141" s="1446"/>
      <c r="V141" s="1446"/>
    </row>
    <row r="142" spans="2:22" ht="3.75" customHeight="1" x14ac:dyDescent="0.25">
      <c r="C142" s="471"/>
      <c r="D142" s="375"/>
      <c r="E142" s="96"/>
      <c r="F142" s="472"/>
      <c r="G142" s="473"/>
      <c r="H142" s="474"/>
      <c r="I142" s="475"/>
      <c r="J142" s="640"/>
      <c r="K142" s="640"/>
      <c r="L142" s="640"/>
      <c r="M142" s="476"/>
      <c r="N142" s="1000"/>
      <c r="O142" s="1000"/>
      <c r="P142" s="228"/>
      <c r="Q142" s="594"/>
      <c r="R142" s="494"/>
      <c r="S142" s="229"/>
    </row>
    <row r="143" spans="2:22" s="15" customFormat="1" ht="22.5" customHeight="1" x14ac:dyDescent="0.25">
      <c r="B143" s="13"/>
      <c r="C143" s="1506" t="s">
        <v>452</v>
      </c>
      <c r="D143" s="1507"/>
      <c r="E143" s="1558" t="s">
        <v>189</v>
      </c>
      <c r="F143" s="1559"/>
      <c r="G143" s="1560"/>
      <c r="H143" s="231" t="s">
        <v>190</v>
      </c>
      <c r="I143" s="232"/>
      <c r="J143" s="641">
        <f>J144+J145+J146+J147+J151+J152+J153+J154+J155+J156+J157+J161+J162+J163+J164+J165+J166+J167</f>
        <v>61485840000</v>
      </c>
      <c r="K143" s="641">
        <f>K144+K145+K146+K147+K151+K152+K153+K154+K155+K156+K157+K161+K162+K163+K164+K165+K166+K167</f>
        <v>61485840000</v>
      </c>
      <c r="L143" s="641">
        <f>L144+L145+L146+L147+L151+L152+L153+L154+L155+L156+L157+L161+L162+L163+L164+L165+L166+L167</f>
        <v>58285840000</v>
      </c>
      <c r="M143" s="233">
        <f>M144+M145+M146+M147+M151+M152+M153+M154+M155+M156+M157+M161+M162+M163+M164+M165+M166+M167</f>
        <v>59285840000</v>
      </c>
      <c r="N143" s="1001"/>
      <c r="O143" s="1001"/>
      <c r="P143" s="26"/>
      <c r="Q143" s="596"/>
      <c r="R143" s="495"/>
      <c r="S143" s="234"/>
      <c r="T143" s="21"/>
      <c r="U143" s="21"/>
      <c r="V143" s="21"/>
    </row>
    <row r="144" spans="2:22" s="29" customFormat="1" ht="18" customHeight="1" x14ac:dyDescent="0.25">
      <c r="B144" s="13"/>
      <c r="C144" s="49"/>
      <c r="D144" s="79"/>
      <c r="E144" s="77" t="s">
        <v>5</v>
      </c>
      <c r="F144" s="1575" t="s">
        <v>191</v>
      </c>
      <c r="G144" s="1576"/>
      <c r="H144" s="1286" t="s">
        <v>192</v>
      </c>
      <c r="I144" s="236" t="s">
        <v>471</v>
      </c>
      <c r="J144" s="642">
        <v>2135760000</v>
      </c>
      <c r="K144" s="642">
        <v>2135760000</v>
      </c>
      <c r="L144" s="642">
        <v>2135760000</v>
      </c>
      <c r="M144" s="237">
        <f>2135760000</f>
        <v>2135760000</v>
      </c>
      <c r="N144" s="238"/>
      <c r="O144" s="238"/>
      <c r="P144" s="238"/>
      <c r="Q144" s="595"/>
      <c r="R144" s="496"/>
      <c r="S144" s="148"/>
      <c r="T144" s="396"/>
      <c r="U144" s="396"/>
      <c r="V144" s="396"/>
    </row>
    <row r="145" spans="2:22" s="29" customFormat="1" ht="21" customHeight="1" x14ac:dyDescent="0.25">
      <c r="B145" s="13"/>
      <c r="C145" s="49"/>
      <c r="D145" s="79"/>
      <c r="E145" s="77" t="s">
        <v>10</v>
      </c>
      <c r="F145" s="1569" t="s">
        <v>193</v>
      </c>
      <c r="G145" s="1570"/>
      <c r="H145" s="1286" t="s">
        <v>194</v>
      </c>
      <c r="I145" s="236" t="s">
        <v>403</v>
      </c>
      <c r="J145" s="642">
        <v>2422200000</v>
      </c>
      <c r="K145" s="642">
        <v>2422200000</v>
      </c>
      <c r="L145" s="642">
        <v>2422200000</v>
      </c>
      <c r="M145" s="237">
        <v>2422200000</v>
      </c>
      <c r="N145" s="238"/>
      <c r="O145" s="238"/>
      <c r="P145" s="238"/>
      <c r="Q145" s="591"/>
      <c r="R145" s="496"/>
      <c r="S145" s="63"/>
      <c r="T145" s="396"/>
      <c r="U145" s="396"/>
      <c r="V145" s="396"/>
    </row>
    <row r="146" spans="2:22" s="29" customFormat="1" ht="21.75" customHeight="1" x14ac:dyDescent="0.25">
      <c r="B146" s="13"/>
      <c r="C146" s="39"/>
      <c r="D146" s="140"/>
      <c r="E146" s="109" t="s">
        <v>13</v>
      </c>
      <c r="F146" s="1569" t="s">
        <v>195</v>
      </c>
      <c r="G146" s="1570"/>
      <c r="H146" s="1287" t="s">
        <v>196</v>
      </c>
      <c r="I146" s="240" t="s">
        <v>472</v>
      </c>
      <c r="J146" s="643">
        <v>2632740000</v>
      </c>
      <c r="K146" s="643">
        <v>2632740000</v>
      </c>
      <c r="L146" s="643">
        <v>2632740000</v>
      </c>
      <c r="M146" s="241">
        <v>2632740000</v>
      </c>
      <c r="N146" s="238"/>
      <c r="O146" s="238"/>
      <c r="P146" s="238"/>
      <c r="Q146" s="591"/>
      <c r="R146" s="496"/>
      <c r="S146" s="63"/>
      <c r="T146" s="396"/>
      <c r="U146" s="396"/>
      <c r="V146" s="396"/>
    </row>
    <row r="147" spans="2:22" s="29" customFormat="1" ht="21.75" customHeight="1" x14ac:dyDescent="0.25">
      <c r="B147" s="13"/>
      <c r="C147" s="39"/>
      <c r="D147" s="140"/>
      <c r="E147" s="109" t="s">
        <v>16</v>
      </c>
      <c r="F147" s="1569" t="s">
        <v>197</v>
      </c>
      <c r="G147" s="1570"/>
      <c r="H147" s="1287" t="s">
        <v>198</v>
      </c>
      <c r="I147" s="240" t="s">
        <v>199</v>
      </c>
      <c r="J147" s="643">
        <f>SUM(J148:J150)</f>
        <v>3884440000</v>
      </c>
      <c r="K147" s="643">
        <f>SUM(K148:K150)</f>
        <v>3884440000</v>
      </c>
      <c r="L147" s="643">
        <f>SUM(L148:L150)</f>
        <v>3884440000</v>
      </c>
      <c r="M147" s="241">
        <f>SUM(M148:M150)</f>
        <v>4684440000</v>
      </c>
      <c r="N147" s="238"/>
      <c r="O147" s="238"/>
      <c r="P147" s="238"/>
      <c r="Q147" s="589"/>
      <c r="R147" s="496"/>
      <c r="S147" s="179"/>
      <c r="T147" s="396"/>
      <c r="U147" s="396"/>
      <c r="V147" s="396"/>
    </row>
    <row r="148" spans="2:22" s="1249" customFormat="1" ht="13.5" customHeight="1" x14ac:dyDescent="0.25">
      <c r="B148" s="1236"/>
      <c r="C148" s="1237"/>
      <c r="D148" s="1238"/>
      <c r="E148" s="1239"/>
      <c r="F148" s="1240" t="s">
        <v>46</v>
      </c>
      <c r="G148" s="1241" t="s">
        <v>197</v>
      </c>
      <c r="H148" s="1242"/>
      <c r="I148" s="1243"/>
      <c r="J148" s="1244">
        <v>2684440000</v>
      </c>
      <c r="K148" s="1244">
        <v>2684440000</v>
      </c>
      <c r="L148" s="1244">
        <v>2684440000</v>
      </c>
      <c r="M148" s="1245">
        <f>2684440000+800000000</f>
        <v>3484440000</v>
      </c>
      <c r="N148" s="1246"/>
      <c r="O148" s="1246"/>
      <c r="P148" s="1247"/>
      <c r="Q148" s="1200"/>
      <c r="R148" s="1248"/>
      <c r="S148" s="1182"/>
      <c r="T148" s="1448"/>
      <c r="U148" s="1448"/>
      <c r="V148" s="1448"/>
    </row>
    <row r="149" spans="2:22" s="1264" customFormat="1" ht="24" customHeight="1" x14ac:dyDescent="0.25">
      <c r="B149" s="1250"/>
      <c r="C149" s="1251"/>
      <c r="D149" s="1252"/>
      <c r="E149" s="1253"/>
      <c r="F149" s="1254" t="s">
        <v>46</v>
      </c>
      <c r="G149" s="1255" t="s">
        <v>337</v>
      </c>
      <c r="H149" s="1256"/>
      <c r="I149" s="1257" t="s">
        <v>165</v>
      </c>
      <c r="J149" s="1258">
        <v>200000000</v>
      </c>
      <c r="K149" s="1258">
        <v>200000000</v>
      </c>
      <c r="L149" s="1258">
        <v>200000000</v>
      </c>
      <c r="M149" s="1259">
        <v>200000000</v>
      </c>
      <c r="N149" s="1260"/>
      <c r="O149" s="1260"/>
      <c r="P149" s="1261"/>
      <c r="Q149" s="1262" t="s">
        <v>338</v>
      </c>
      <c r="R149" s="1263">
        <v>200000000</v>
      </c>
      <c r="S149" s="1199" t="s">
        <v>338</v>
      </c>
      <c r="T149" s="1449"/>
      <c r="U149" s="1449"/>
      <c r="V149" s="1449"/>
    </row>
    <row r="150" spans="2:22" s="1264" customFormat="1" ht="11.25" customHeight="1" x14ac:dyDescent="0.25">
      <c r="B150" s="1250"/>
      <c r="C150" s="1265"/>
      <c r="D150" s="1188"/>
      <c r="E150" s="1266"/>
      <c r="F150" s="1267" t="s">
        <v>46</v>
      </c>
      <c r="G150" s="1268" t="s">
        <v>200</v>
      </c>
      <c r="H150" s="1269"/>
      <c r="I150" s="1270" t="s">
        <v>111</v>
      </c>
      <c r="J150" s="1271">
        <f>1000000000</f>
        <v>1000000000</v>
      </c>
      <c r="K150" s="1271">
        <f>1000000000</f>
        <v>1000000000</v>
      </c>
      <c r="L150" s="1271">
        <f>1000000000</f>
        <v>1000000000</v>
      </c>
      <c r="M150" s="1272">
        <f>1000000000</f>
        <v>1000000000</v>
      </c>
      <c r="N150" s="1273"/>
      <c r="O150" s="1273"/>
      <c r="P150" s="1273"/>
      <c r="Q150" s="1274" t="s">
        <v>420</v>
      </c>
      <c r="R150" s="1275">
        <v>1000000000</v>
      </c>
      <c r="S150" s="1276" t="s">
        <v>420</v>
      </c>
      <c r="T150" s="1449"/>
      <c r="U150" s="1449"/>
      <c r="V150" s="1449"/>
    </row>
    <row r="151" spans="2:22" s="29" customFormat="1" ht="24" customHeight="1" x14ac:dyDescent="0.25">
      <c r="B151" s="13"/>
      <c r="C151" s="39"/>
      <c r="D151" s="140"/>
      <c r="E151" s="109" t="s">
        <v>19</v>
      </c>
      <c r="F151" s="1569" t="s">
        <v>391</v>
      </c>
      <c r="G151" s="1570"/>
      <c r="H151" s="1287" t="s">
        <v>201</v>
      </c>
      <c r="I151" s="240" t="s">
        <v>474</v>
      </c>
      <c r="J151" s="643">
        <v>2770240000</v>
      </c>
      <c r="K151" s="643">
        <v>2770240000</v>
      </c>
      <c r="L151" s="643">
        <v>2770240000</v>
      </c>
      <c r="M151" s="241">
        <v>2770240000</v>
      </c>
      <c r="N151" s="238"/>
      <c r="O151" s="238"/>
      <c r="P151" s="238"/>
      <c r="Q151" s="526"/>
      <c r="R151" s="496"/>
      <c r="T151" s="396"/>
      <c r="U151" s="396"/>
      <c r="V151" s="396"/>
    </row>
    <row r="152" spans="2:22" s="29" customFormat="1" ht="27" customHeight="1" x14ac:dyDescent="0.25">
      <c r="B152" s="13"/>
      <c r="C152" s="39"/>
      <c r="D152" s="140"/>
      <c r="E152" s="109" t="s">
        <v>27</v>
      </c>
      <c r="F152" s="1569" t="s">
        <v>202</v>
      </c>
      <c r="G152" s="1570"/>
      <c r="H152" s="1287" t="s">
        <v>203</v>
      </c>
      <c r="I152" s="240" t="s">
        <v>475</v>
      </c>
      <c r="J152" s="643">
        <v>1778480000</v>
      </c>
      <c r="K152" s="643">
        <v>1778480000</v>
      </c>
      <c r="L152" s="643">
        <v>1778480000</v>
      </c>
      <c r="M152" s="241">
        <v>1778480000</v>
      </c>
      <c r="N152" s="238"/>
      <c r="O152" s="238"/>
      <c r="P152" s="238"/>
      <c r="Q152" s="526"/>
      <c r="R152" s="496"/>
      <c r="T152" s="396"/>
      <c r="U152" s="396"/>
      <c r="V152" s="396"/>
    </row>
    <row r="153" spans="2:22" s="29" customFormat="1" ht="18" customHeight="1" x14ac:dyDescent="0.25">
      <c r="B153" s="13"/>
      <c r="C153" s="39"/>
      <c r="D153" s="140"/>
      <c r="E153" s="109" t="s">
        <v>30</v>
      </c>
      <c r="F153" s="1569" t="s">
        <v>204</v>
      </c>
      <c r="G153" s="1570"/>
      <c r="H153" s="1287" t="s">
        <v>205</v>
      </c>
      <c r="I153" s="240" t="s">
        <v>476</v>
      </c>
      <c r="J153" s="643">
        <v>2292620000</v>
      </c>
      <c r="K153" s="643">
        <v>2292620000</v>
      </c>
      <c r="L153" s="643">
        <v>2292620000</v>
      </c>
      <c r="M153" s="241">
        <f>2292620000+200000000</f>
        <v>2492620000</v>
      </c>
      <c r="N153" s="238"/>
      <c r="O153" s="238"/>
      <c r="P153" s="238"/>
      <c r="Q153" s="526"/>
      <c r="R153" s="496"/>
      <c r="T153" s="396"/>
      <c r="U153" s="396"/>
      <c r="V153" s="396"/>
    </row>
    <row r="154" spans="2:22" s="29" customFormat="1" ht="19.5" customHeight="1" x14ac:dyDescent="0.25">
      <c r="B154" s="13"/>
      <c r="C154" s="39"/>
      <c r="D154" s="140"/>
      <c r="E154" s="109" t="s">
        <v>8</v>
      </c>
      <c r="F154" s="1569" t="s">
        <v>206</v>
      </c>
      <c r="G154" s="1570"/>
      <c r="H154" s="1287" t="s">
        <v>207</v>
      </c>
      <c r="I154" s="240" t="s">
        <v>477</v>
      </c>
      <c r="J154" s="643">
        <v>2560360000</v>
      </c>
      <c r="K154" s="643">
        <v>2560360000</v>
      </c>
      <c r="L154" s="643">
        <v>2560360000</v>
      </c>
      <c r="M154" s="241">
        <v>2560360000</v>
      </c>
      <c r="N154" s="238"/>
      <c r="O154" s="238"/>
      <c r="P154" s="238"/>
      <c r="Q154" s="526"/>
      <c r="R154" s="496"/>
      <c r="T154" s="396"/>
      <c r="U154" s="396"/>
      <c r="V154" s="396"/>
    </row>
    <row r="155" spans="2:22" s="29" customFormat="1" ht="28.5" customHeight="1" x14ac:dyDescent="0.25">
      <c r="B155" s="13"/>
      <c r="C155" s="39"/>
      <c r="D155" s="140"/>
      <c r="E155" s="109" t="s">
        <v>22</v>
      </c>
      <c r="F155" s="1569" t="s">
        <v>208</v>
      </c>
      <c r="G155" s="1570"/>
      <c r="H155" s="1287" t="s">
        <v>209</v>
      </c>
      <c r="I155" s="240" t="s">
        <v>478</v>
      </c>
      <c r="J155" s="643">
        <v>3006520000</v>
      </c>
      <c r="K155" s="643">
        <v>3006520000</v>
      </c>
      <c r="L155" s="643">
        <v>3006520000</v>
      </c>
      <c r="M155" s="241">
        <v>3006520000</v>
      </c>
      <c r="N155" s="238"/>
      <c r="O155" s="238"/>
      <c r="P155" s="238"/>
      <c r="Q155" s="526"/>
      <c r="R155" s="496"/>
      <c r="T155" s="396"/>
      <c r="U155" s="396"/>
      <c r="V155" s="396"/>
    </row>
    <row r="156" spans="2:22" s="29" customFormat="1" ht="21" customHeight="1" x14ac:dyDescent="0.25">
      <c r="B156" s="13"/>
      <c r="C156" s="39"/>
      <c r="D156" s="140"/>
      <c r="E156" s="109" t="s">
        <v>210</v>
      </c>
      <c r="F156" s="1569" t="s">
        <v>211</v>
      </c>
      <c r="G156" s="1570"/>
      <c r="H156" s="1287" t="s">
        <v>212</v>
      </c>
      <c r="I156" s="240" t="s">
        <v>473</v>
      </c>
      <c r="J156" s="643">
        <v>1980000000</v>
      </c>
      <c r="K156" s="643">
        <v>1980000000</v>
      </c>
      <c r="L156" s="643">
        <v>1980000000</v>
      </c>
      <c r="M156" s="241">
        <v>1980000000</v>
      </c>
      <c r="N156" s="238"/>
      <c r="O156" s="238"/>
      <c r="P156" s="238"/>
      <c r="Q156" s="526"/>
      <c r="R156" s="496"/>
      <c r="T156" s="396"/>
      <c r="U156" s="396"/>
      <c r="V156" s="396"/>
    </row>
    <row r="157" spans="2:22" s="29" customFormat="1" ht="27.75" customHeight="1" x14ac:dyDescent="0.25">
      <c r="B157" s="13"/>
      <c r="C157" s="39"/>
      <c r="D157" s="140"/>
      <c r="E157" s="109">
        <v>11</v>
      </c>
      <c r="F157" s="1569" t="s">
        <v>213</v>
      </c>
      <c r="G157" s="1570"/>
      <c r="H157" s="1287" t="s">
        <v>214</v>
      </c>
      <c r="I157" s="240" t="s">
        <v>479</v>
      </c>
      <c r="J157" s="643">
        <f>SUM(J158:J160)</f>
        <v>2022480000</v>
      </c>
      <c r="K157" s="643">
        <f>SUM(K158:K160)</f>
        <v>2022480000</v>
      </c>
      <c r="L157" s="643">
        <f>SUM(L158:L160)</f>
        <v>2022480000</v>
      </c>
      <c r="M157" s="241">
        <f>SUM(M158:M160)</f>
        <v>2022480000</v>
      </c>
      <c r="N157" s="238"/>
      <c r="O157" s="238"/>
      <c r="P157" s="238"/>
      <c r="Q157" s="526"/>
      <c r="R157" s="496"/>
      <c r="T157" s="396"/>
      <c r="U157" s="396"/>
      <c r="V157" s="396"/>
    </row>
    <row r="158" spans="2:22" s="1182" customFormat="1" ht="25.5" customHeight="1" x14ac:dyDescent="0.25">
      <c r="B158" s="1277"/>
      <c r="C158" s="1278"/>
      <c r="D158" s="1279"/>
      <c r="E158" s="1280"/>
      <c r="F158" s="1281" t="s">
        <v>46</v>
      </c>
      <c r="G158" s="1282" t="s">
        <v>213</v>
      </c>
      <c r="H158" s="1283"/>
      <c r="I158" s="1284"/>
      <c r="J158" s="1178">
        <v>1272480000</v>
      </c>
      <c r="K158" s="1178">
        <v>1272480000</v>
      </c>
      <c r="L158" s="1178">
        <v>1272480000</v>
      </c>
      <c r="M158" s="1179">
        <v>1272480000</v>
      </c>
      <c r="N158" s="1180"/>
      <c r="O158" s="1180"/>
      <c r="P158" s="1180"/>
      <c r="Q158" s="1285"/>
      <c r="R158" s="1180"/>
      <c r="T158" s="1444"/>
      <c r="U158" s="1444"/>
      <c r="V158" s="1444"/>
    </row>
    <row r="159" spans="2:22" s="1182" customFormat="1" ht="14.25" customHeight="1" x14ac:dyDescent="0.25">
      <c r="B159" s="1277"/>
      <c r="C159" s="1278"/>
      <c r="D159" s="1279"/>
      <c r="E159" s="1280"/>
      <c r="F159" s="1281" t="s">
        <v>46</v>
      </c>
      <c r="G159" s="1282" t="s">
        <v>486</v>
      </c>
      <c r="H159" s="1283"/>
      <c r="I159" s="1284" t="s">
        <v>540</v>
      </c>
      <c r="J159" s="1178">
        <f>250000000+500000000</f>
        <v>750000000</v>
      </c>
      <c r="K159" s="1178">
        <f t="shared" ref="K159:M159" si="1">250000000+500000000</f>
        <v>750000000</v>
      </c>
      <c r="L159" s="1178">
        <f t="shared" si="1"/>
        <v>750000000</v>
      </c>
      <c r="M159" s="1179">
        <f t="shared" si="1"/>
        <v>750000000</v>
      </c>
      <c r="N159" s="1180"/>
      <c r="O159" s="1180"/>
      <c r="P159" s="1180"/>
      <c r="Q159" s="1285"/>
      <c r="R159" s="1180"/>
      <c r="T159" s="1444"/>
      <c r="U159" s="1444"/>
      <c r="V159" s="1444"/>
    </row>
    <row r="160" spans="2:22" s="192" customFormat="1" ht="14.25" hidden="1" customHeight="1" x14ac:dyDescent="0.25">
      <c r="B160" s="267"/>
      <c r="C160" s="268"/>
      <c r="D160" s="254"/>
      <c r="E160" s="269"/>
      <c r="F160" s="255" t="s">
        <v>46</v>
      </c>
      <c r="G160" s="270" t="s">
        <v>450</v>
      </c>
      <c r="H160" s="1288"/>
      <c r="I160" s="271"/>
      <c r="J160" s="636"/>
      <c r="K160" s="636"/>
      <c r="L160" s="636"/>
      <c r="M160" s="190"/>
      <c r="N160" s="191"/>
      <c r="O160" s="191"/>
      <c r="P160" s="191"/>
      <c r="Q160" s="587" t="s">
        <v>428</v>
      </c>
      <c r="R160" s="191">
        <v>500000000</v>
      </c>
      <c r="S160" s="192" t="s">
        <v>428</v>
      </c>
      <c r="T160" s="1446"/>
      <c r="U160" s="1446"/>
      <c r="V160" s="1446"/>
    </row>
    <row r="161" spans="2:22" s="29" customFormat="1" ht="20.25" customHeight="1" x14ac:dyDescent="0.25">
      <c r="B161" s="13"/>
      <c r="C161" s="39"/>
      <c r="D161" s="140"/>
      <c r="E161" s="109">
        <v>12</v>
      </c>
      <c r="F161" s="1569" t="s">
        <v>215</v>
      </c>
      <c r="G161" s="1570"/>
      <c r="H161" s="1287" t="s">
        <v>216</v>
      </c>
      <c r="I161" s="240" t="s">
        <v>217</v>
      </c>
      <c r="J161" s="643">
        <f>500000000+300000000</f>
        <v>800000000</v>
      </c>
      <c r="K161" s="643">
        <f>500000000+300000000</f>
        <v>800000000</v>
      </c>
      <c r="L161" s="643">
        <f>500000000+300000000</f>
        <v>800000000</v>
      </c>
      <c r="M161" s="241">
        <f>500000000+300000000</f>
        <v>800000000</v>
      </c>
      <c r="N161" s="238"/>
      <c r="O161" s="238"/>
      <c r="P161" s="238"/>
      <c r="Q161" s="526"/>
      <c r="R161" s="496"/>
      <c r="T161" s="396"/>
      <c r="U161" s="396"/>
      <c r="V161" s="396"/>
    </row>
    <row r="162" spans="2:22" s="29" customFormat="1" ht="26.25" customHeight="1" x14ac:dyDescent="0.25">
      <c r="B162" s="13"/>
      <c r="C162" s="39"/>
      <c r="D162" s="140"/>
      <c r="E162" s="109">
        <v>13</v>
      </c>
      <c r="F162" s="1569" t="s">
        <v>218</v>
      </c>
      <c r="G162" s="1570"/>
      <c r="H162" s="1287" t="s">
        <v>219</v>
      </c>
      <c r="I162" s="240" t="s">
        <v>393</v>
      </c>
      <c r="J162" s="643">
        <v>4000000000</v>
      </c>
      <c r="K162" s="643">
        <v>4000000000</v>
      </c>
      <c r="L162" s="643">
        <v>4000000000</v>
      </c>
      <c r="M162" s="241">
        <v>4000000000</v>
      </c>
      <c r="N162" s="238"/>
      <c r="O162" s="238"/>
      <c r="P162" s="238"/>
      <c r="Q162" s="526"/>
      <c r="R162" s="496"/>
      <c r="T162" s="396"/>
      <c r="U162" s="396"/>
      <c r="V162" s="396"/>
    </row>
    <row r="163" spans="2:22" s="29" customFormat="1" ht="24" customHeight="1" x14ac:dyDescent="0.25">
      <c r="B163" s="13"/>
      <c r="C163" s="39"/>
      <c r="D163" s="140"/>
      <c r="E163" s="759">
        <v>14</v>
      </c>
      <c r="F163" s="1714" t="s">
        <v>229</v>
      </c>
      <c r="G163" s="1715"/>
      <c r="H163" s="1289" t="s">
        <v>230</v>
      </c>
      <c r="I163" s="761" t="s">
        <v>111</v>
      </c>
      <c r="J163" s="647">
        <f>2000000000-300000000</f>
        <v>1700000000</v>
      </c>
      <c r="K163" s="647">
        <f>2000000000-300000000</f>
        <v>1700000000</v>
      </c>
      <c r="L163" s="647">
        <v>0</v>
      </c>
      <c r="M163" s="274">
        <v>0</v>
      </c>
      <c r="N163" s="1004"/>
      <c r="O163" s="1004"/>
      <c r="P163" s="238"/>
      <c r="Q163" s="526"/>
      <c r="R163" s="496"/>
      <c r="T163" s="396"/>
      <c r="U163" s="396"/>
      <c r="V163" s="396"/>
    </row>
    <row r="164" spans="2:22" s="29" customFormat="1" ht="16.5" customHeight="1" x14ac:dyDescent="0.25">
      <c r="B164" s="13"/>
      <c r="C164" s="39"/>
      <c r="D164" s="140"/>
      <c r="E164" s="55">
        <v>15</v>
      </c>
      <c r="F164" s="1569" t="s">
        <v>225</v>
      </c>
      <c r="G164" s="1570"/>
      <c r="H164" s="1290" t="s">
        <v>226</v>
      </c>
      <c r="I164" s="273" t="s">
        <v>544</v>
      </c>
      <c r="J164" s="647">
        <f t="shared" ref="J164:M165" si="2">11000000000</f>
        <v>11000000000</v>
      </c>
      <c r="K164" s="647">
        <f t="shared" si="2"/>
        <v>11000000000</v>
      </c>
      <c r="L164" s="647">
        <f t="shared" si="2"/>
        <v>11000000000</v>
      </c>
      <c r="M164" s="274">
        <f t="shared" si="2"/>
        <v>11000000000</v>
      </c>
      <c r="N164" s="238"/>
      <c r="O164" s="238"/>
      <c r="P164" s="238"/>
      <c r="Q164" s="526"/>
      <c r="R164" s="496"/>
      <c r="T164" s="396"/>
      <c r="U164" s="396"/>
      <c r="V164" s="396"/>
    </row>
    <row r="165" spans="2:22" s="29" customFormat="1" ht="16.5" customHeight="1" x14ac:dyDescent="0.25">
      <c r="B165" s="13"/>
      <c r="C165" s="39"/>
      <c r="D165" s="140"/>
      <c r="E165" s="55">
        <v>16</v>
      </c>
      <c r="F165" s="1569" t="s">
        <v>227</v>
      </c>
      <c r="G165" s="1570"/>
      <c r="H165" s="1290" t="s">
        <v>228</v>
      </c>
      <c r="I165" s="273" t="s">
        <v>544</v>
      </c>
      <c r="J165" s="647">
        <f t="shared" si="2"/>
        <v>11000000000</v>
      </c>
      <c r="K165" s="647">
        <f t="shared" si="2"/>
        <v>11000000000</v>
      </c>
      <c r="L165" s="647">
        <f t="shared" si="2"/>
        <v>11000000000</v>
      </c>
      <c r="M165" s="274">
        <f>11000000000</f>
        <v>11000000000</v>
      </c>
      <c r="N165" s="238"/>
      <c r="O165" s="238"/>
      <c r="P165" s="238"/>
      <c r="Q165" s="526"/>
      <c r="R165" s="496"/>
      <c r="T165" s="396">
        <v>1750000000</v>
      </c>
      <c r="U165" s="396">
        <f>M165/T165</f>
        <v>6.2857142857142856</v>
      </c>
      <c r="V165" s="396"/>
    </row>
    <row r="166" spans="2:22" s="29" customFormat="1" ht="26.25" customHeight="1" x14ac:dyDescent="0.25">
      <c r="B166" s="13"/>
      <c r="C166" s="39"/>
      <c r="D166" s="140"/>
      <c r="E166" s="55">
        <v>17</v>
      </c>
      <c r="F166" s="1569" t="s">
        <v>223</v>
      </c>
      <c r="G166" s="1570"/>
      <c r="H166" s="1290" t="s">
        <v>415</v>
      </c>
      <c r="I166" s="713" t="s">
        <v>545</v>
      </c>
      <c r="J166" s="647">
        <v>4000000000</v>
      </c>
      <c r="K166" s="647">
        <v>4000000000</v>
      </c>
      <c r="L166" s="647">
        <v>4000000000</v>
      </c>
      <c r="M166" s="274">
        <v>4000000000</v>
      </c>
      <c r="N166" s="238"/>
      <c r="O166" s="238"/>
      <c r="P166" s="238"/>
      <c r="Q166" s="540"/>
      <c r="R166" s="496"/>
      <c r="T166" s="396"/>
      <c r="U166" s="396"/>
      <c r="V166" s="396"/>
    </row>
    <row r="167" spans="2:22" s="29" customFormat="1" ht="27.75" customHeight="1" x14ac:dyDescent="0.25">
      <c r="B167" s="13"/>
      <c r="C167" s="39"/>
      <c r="D167" s="140"/>
      <c r="E167" s="140">
        <v>18</v>
      </c>
      <c r="F167" s="1716" t="s">
        <v>220</v>
      </c>
      <c r="G167" s="1717"/>
      <c r="H167" s="1291" t="s">
        <v>221</v>
      </c>
      <c r="I167" s="764" t="s">
        <v>222</v>
      </c>
      <c r="J167" s="643">
        <v>1500000000</v>
      </c>
      <c r="K167" s="643">
        <v>1500000000</v>
      </c>
      <c r="L167" s="643">
        <v>0</v>
      </c>
      <c r="M167" s="241">
        <v>0</v>
      </c>
      <c r="N167" s="1004"/>
      <c r="O167" s="1004"/>
      <c r="P167" s="238"/>
      <c r="Q167" s="526"/>
      <c r="R167" s="496"/>
      <c r="T167" s="396"/>
      <c r="U167" s="396"/>
      <c r="V167" s="396"/>
    </row>
    <row r="168" spans="2:22" ht="4.5" customHeight="1" x14ac:dyDescent="0.25">
      <c r="C168" s="275"/>
      <c r="D168" s="276"/>
      <c r="E168" s="276"/>
      <c r="F168" s="1540"/>
      <c r="G168" s="1541"/>
      <c r="H168" s="279"/>
      <c r="I168" s="280"/>
      <c r="J168" s="648"/>
      <c r="K168" s="648"/>
      <c r="L168" s="648"/>
      <c r="M168" s="281"/>
      <c r="N168" s="993"/>
      <c r="O168" s="993"/>
      <c r="P168" s="101"/>
      <c r="Q168" s="528"/>
      <c r="R168" s="491"/>
    </row>
    <row r="169" spans="2:22" s="15" customFormat="1" ht="32.25" customHeight="1" x14ac:dyDescent="0.25">
      <c r="B169" s="13"/>
      <c r="C169" s="1501" t="s">
        <v>453</v>
      </c>
      <c r="D169" s="1502"/>
      <c r="E169" s="1558" t="s">
        <v>231</v>
      </c>
      <c r="F169" s="1559"/>
      <c r="G169" s="1560"/>
      <c r="H169" s="231" t="s">
        <v>232</v>
      </c>
      <c r="I169" s="282"/>
      <c r="J169" s="649">
        <f>J171+J170+J172</f>
        <v>1850000000</v>
      </c>
      <c r="K169" s="649">
        <f>K171+K170+K172</f>
        <v>1850000000</v>
      </c>
      <c r="L169" s="649">
        <f>L171+L170+L172</f>
        <v>1850000000</v>
      </c>
      <c r="M169" s="283">
        <f>M171+M170+M172</f>
        <v>2050000000</v>
      </c>
      <c r="N169" s="1005"/>
      <c r="O169" s="1005"/>
      <c r="P169" s="104"/>
      <c r="Q169" s="529"/>
      <c r="R169" s="14"/>
      <c r="S169" s="17"/>
      <c r="T169" s="21"/>
      <c r="U169" s="21"/>
      <c r="V169" s="21"/>
    </row>
    <row r="170" spans="2:22" s="29" customFormat="1" ht="18.75" customHeight="1" x14ac:dyDescent="0.25">
      <c r="B170" s="13"/>
      <c r="C170" s="39"/>
      <c r="D170" s="140"/>
      <c r="E170" s="109" t="s">
        <v>5</v>
      </c>
      <c r="F170" s="1567" t="s">
        <v>233</v>
      </c>
      <c r="G170" s="1568"/>
      <c r="H170" s="1292" t="s">
        <v>234</v>
      </c>
      <c r="I170" s="285">
        <v>1</v>
      </c>
      <c r="J170" s="1805">
        <v>1200000000</v>
      </c>
      <c r="K170" s="1805">
        <v>1200000000</v>
      </c>
      <c r="L170" s="1805">
        <v>1200000000</v>
      </c>
      <c r="M170" s="1806">
        <f>1200000000+200000000</f>
        <v>1400000000</v>
      </c>
      <c r="N170" s="1006"/>
      <c r="O170" s="1006"/>
      <c r="P170" s="7"/>
      <c r="Q170" s="530"/>
      <c r="R170" s="1441"/>
      <c r="T170" s="396"/>
      <c r="U170" s="396"/>
      <c r="V170" s="396"/>
    </row>
    <row r="171" spans="2:22" s="82" customFormat="1" ht="17.25" customHeight="1" x14ac:dyDescent="0.25">
      <c r="B171" s="59"/>
      <c r="C171" s="39"/>
      <c r="D171" s="140"/>
      <c r="E171" s="109" t="s">
        <v>10</v>
      </c>
      <c r="F171" s="1565" t="s">
        <v>235</v>
      </c>
      <c r="G171" s="1566"/>
      <c r="H171" s="1292" t="s">
        <v>234</v>
      </c>
      <c r="I171" s="285">
        <v>1</v>
      </c>
      <c r="J171" s="650">
        <v>350000000</v>
      </c>
      <c r="K171" s="650">
        <v>350000000</v>
      </c>
      <c r="L171" s="650">
        <v>350000000</v>
      </c>
      <c r="M171" s="286">
        <v>350000000</v>
      </c>
      <c r="N171" s="1006"/>
      <c r="O171" s="1006"/>
      <c r="P171" s="7"/>
      <c r="Q171" s="530"/>
      <c r="R171" s="1441"/>
      <c r="S171" s="136"/>
      <c r="T171" s="155"/>
      <c r="U171" s="155"/>
      <c r="V171" s="155"/>
    </row>
    <row r="172" spans="2:22" s="29" customFormat="1" ht="18" customHeight="1" x14ac:dyDescent="0.25">
      <c r="B172" s="13"/>
      <c r="C172" s="39"/>
      <c r="D172" s="140"/>
      <c r="E172" s="109" t="s">
        <v>13</v>
      </c>
      <c r="F172" s="1550" t="s">
        <v>236</v>
      </c>
      <c r="G172" s="1551"/>
      <c r="H172" s="1293" t="s">
        <v>237</v>
      </c>
      <c r="I172" s="477">
        <v>1</v>
      </c>
      <c r="J172" s="650">
        <v>300000000</v>
      </c>
      <c r="K172" s="650">
        <v>300000000</v>
      </c>
      <c r="L172" s="650">
        <v>300000000</v>
      </c>
      <c r="M172" s="286">
        <v>300000000</v>
      </c>
      <c r="N172" s="1006"/>
      <c r="O172" s="1006"/>
      <c r="P172" s="7"/>
      <c r="Q172" s="530"/>
      <c r="R172" s="1441"/>
      <c r="T172" s="396"/>
      <c r="U172" s="396"/>
      <c r="V172" s="396"/>
    </row>
    <row r="173" spans="2:22" ht="3" customHeight="1" x14ac:dyDescent="0.25">
      <c r="C173" s="275"/>
      <c r="D173" s="276"/>
      <c r="E173" s="276"/>
      <c r="F173" s="1540"/>
      <c r="G173" s="1541"/>
      <c r="H173" s="279"/>
      <c r="I173" s="289"/>
      <c r="J173" s="651"/>
      <c r="K173" s="651"/>
      <c r="L173" s="651"/>
      <c r="M173" s="290"/>
      <c r="N173" s="1007"/>
      <c r="O173" s="1007"/>
      <c r="Q173" s="531"/>
    </row>
    <row r="174" spans="2:22" s="29" customFormat="1" ht="33.75" customHeight="1" x14ac:dyDescent="0.25">
      <c r="B174" s="13"/>
      <c r="C174" s="1506" t="s">
        <v>454</v>
      </c>
      <c r="D174" s="1507"/>
      <c r="E174" s="1558" t="s">
        <v>238</v>
      </c>
      <c r="F174" s="1559"/>
      <c r="G174" s="1560"/>
      <c r="H174" s="231" t="s">
        <v>239</v>
      </c>
      <c r="I174" s="282"/>
      <c r="J174" s="652">
        <f>J175+J180+J176+J178</f>
        <v>7000000000</v>
      </c>
      <c r="K174" s="652">
        <f>K175+K180+K176+K178</f>
        <v>7000000000</v>
      </c>
      <c r="L174" s="652">
        <f>L175+L180+L176+L178</f>
        <v>7000000000</v>
      </c>
      <c r="M174" s="292">
        <f>M175+M180+M176+M178</f>
        <v>7500000000</v>
      </c>
      <c r="N174" s="1008"/>
      <c r="O174" s="1008"/>
      <c r="P174" s="32"/>
      <c r="Q174" s="529"/>
      <c r="R174" s="486"/>
      <c r="T174" s="396"/>
      <c r="U174" s="396"/>
      <c r="V174" s="396"/>
    </row>
    <row r="175" spans="2:22" s="29" customFormat="1" ht="23.25" customHeight="1" x14ac:dyDescent="0.25">
      <c r="B175" s="13"/>
      <c r="C175" s="39"/>
      <c r="D175" s="140"/>
      <c r="E175" s="77" t="s">
        <v>5</v>
      </c>
      <c r="F175" s="1567" t="s">
        <v>240</v>
      </c>
      <c r="G175" s="1568"/>
      <c r="H175" s="1295" t="s">
        <v>241</v>
      </c>
      <c r="I175" s="294">
        <v>1</v>
      </c>
      <c r="J175" s="653">
        <v>500000000</v>
      </c>
      <c r="K175" s="653">
        <v>500000000</v>
      </c>
      <c r="L175" s="653">
        <v>500000000</v>
      </c>
      <c r="M175" s="295">
        <v>500000000</v>
      </c>
      <c r="N175" s="296"/>
      <c r="O175" s="296"/>
      <c r="P175" s="296"/>
      <c r="Q175" s="532"/>
      <c r="R175" s="501"/>
      <c r="T175" s="396"/>
      <c r="U175" s="396"/>
      <c r="V175" s="396"/>
    </row>
    <row r="176" spans="2:22" s="29" customFormat="1" ht="25.5" customHeight="1" x14ac:dyDescent="0.25">
      <c r="B176" s="13"/>
      <c r="C176" s="39"/>
      <c r="D176" s="140"/>
      <c r="E176" s="109" t="s">
        <v>10</v>
      </c>
      <c r="F176" s="1556" t="s">
        <v>242</v>
      </c>
      <c r="G176" s="1557"/>
      <c r="H176" s="1293" t="s">
        <v>243</v>
      </c>
      <c r="I176" s="298" t="s">
        <v>244</v>
      </c>
      <c r="J176" s="654">
        <f>SUM(J177:J177)</f>
        <v>300000000</v>
      </c>
      <c r="K176" s="654">
        <f>SUM(K177:K177)</f>
        <v>300000000</v>
      </c>
      <c r="L176" s="654">
        <f>SUM(L177:L177)</f>
        <v>300000000</v>
      </c>
      <c r="M176" s="299">
        <f>SUM(M177:M177)</f>
        <v>300000000</v>
      </c>
      <c r="N176" s="296"/>
      <c r="O176" s="296"/>
      <c r="P176" s="296"/>
      <c r="Q176" s="533"/>
      <c r="R176" s="501"/>
      <c r="T176" s="396"/>
      <c r="U176" s="396"/>
      <c r="V176" s="396"/>
    </row>
    <row r="177" spans="2:22" s="306" customFormat="1" ht="27" customHeight="1" x14ac:dyDescent="0.25">
      <c r="B177" s="13"/>
      <c r="C177" s="300"/>
      <c r="D177" s="156"/>
      <c r="E177" s="156"/>
      <c r="F177" s="301" t="s">
        <v>46</v>
      </c>
      <c r="G177" s="1294" t="s">
        <v>245</v>
      </c>
      <c r="H177" s="1296"/>
      <c r="I177" s="1" t="s">
        <v>244</v>
      </c>
      <c r="J177" s="655">
        <v>300000000</v>
      </c>
      <c r="K177" s="655">
        <v>300000000</v>
      </c>
      <c r="L177" s="655">
        <v>300000000</v>
      </c>
      <c r="M177" s="304">
        <v>300000000</v>
      </c>
      <c r="N177" s="305"/>
      <c r="O177" s="305"/>
      <c r="P177" s="305"/>
      <c r="Q177" s="534"/>
      <c r="R177" s="502"/>
      <c r="T177" s="928"/>
      <c r="U177" s="928"/>
      <c r="V177" s="928"/>
    </row>
    <row r="178" spans="2:22" s="29" customFormat="1" ht="25.5" customHeight="1" x14ac:dyDescent="0.25">
      <c r="B178" s="13"/>
      <c r="C178" s="39"/>
      <c r="D178" s="140"/>
      <c r="E178" s="109" t="s">
        <v>13</v>
      </c>
      <c r="F178" s="1550" t="s">
        <v>246</v>
      </c>
      <c r="G178" s="1551"/>
      <c r="H178" s="1293" t="s">
        <v>247</v>
      </c>
      <c r="I178" s="298" t="s">
        <v>465</v>
      </c>
      <c r="J178" s="654">
        <f>SUM(J179:J179)</f>
        <v>6000000000</v>
      </c>
      <c r="K178" s="654">
        <f>SUM(K179:K179)</f>
        <v>6000000000</v>
      </c>
      <c r="L178" s="654">
        <f>SUM(L179:L179)</f>
        <v>6000000000</v>
      </c>
      <c r="M178" s="299">
        <f>SUM(M179:M179)</f>
        <v>6500000000</v>
      </c>
      <c r="N178" s="296"/>
      <c r="O178" s="296"/>
      <c r="P178" s="296"/>
      <c r="Q178" s="533"/>
      <c r="R178" s="501"/>
      <c r="T178" s="396"/>
      <c r="U178" s="396"/>
      <c r="V178" s="396"/>
    </row>
    <row r="179" spans="2:22" s="306" customFormat="1" ht="24.75" customHeight="1" x14ac:dyDescent="0.25">
      <c r="B179" s="13"/>
      <c r="C179" s="300"/>
      <c r="D179" s="156"/>
      <c r="E179" s="156"/>
      <c r="F179" s="301" t="s">
        <v>46</v>
      </c>
      <c r="G179" s="1294" t="s">
        <v>249</v>
      </c>
      <c r="H179" s="1296"/>
      <c r="I179" s="1" t="s">
        <v>248</v>
      </c>
      <c r="J179" s="655">
        <v>6000000000</v>
      </c>
      <c r="K179" s="655">
        <v>6000000000</v>
      </c>
      <c r="L179" s="655">
        <v>6000000000</v>
      </c>
      <c r="M179" s="304">
        <f>6000000000+500000000</f>
        <v>6500000000</v>
      </c>
      <c r="N179" s="305"/>
      <c r="O179" s="305"/>
      <c r="P179" s="305"/>
      <c r="Q179" s="534"/>
      <c r="R179" s="502"/>
      <c r="T179" s="928"/>
      <c r="U179" s="928"/>
      <c r="V179" s="928"/>
    </row>
    <row r="180" spans="2:22" s="29" customFormat="1" ht="21" customHeight="1" x14ac:dyDescent="0.25">
      <c r="B180" s="13"/>
      <c r="C180" s="39"/>
      <c r="D180" s="140"/>
      <c r="E180" s="109" t="s">
        <v>16</v>
      </c>
      <c r="F180" s="1556" t="s">
        <v>250</v>
      </c>
      <c r="G180" s="1557"/>
      <c r="H180" s="1293" t="s">
        <v>251</v>
      </c>
      <c r="I180" s="294">
        <v>1</v>
      </c>
      <c r="J180" s="654">
        <v>200000000</v>
      </c>
      <c r="K180" s="654">
        <v>200000000</v>
      </c>
      <c r="L180" s="654">
        <v>200000000</v>
      </c>
      <c r="M180" s="299">
        <v>200000000</v>
      </c>
      <c r="N180" s="296"/>
      <c r="O180" s="296"/>
      <c r="P180" s="296"/>
      <c r="Q180" s="532"/>
      <c r="R180" s="501"/>
      <c r="T180" s="396"/>
      <c r="U180" s="396"/>
      <c r="V180" s="396"/>
    </row>
    <row r="181" spans="2:22" ht="3" customHeight="1" x14ac:dyDescent="0.25">
      <c r="C181" s="275"/>
      <c r="D181" s="276"/>
      <c r="E181" s="276"/>
      <c r="F181" s="310"/>
      <c r="G181" s="287"/>
      <c r="H181" s="288"/>
      <c r="I181" s="311"/>
      <c r="J181" s="656"/>
      <c r="K181" s="656"/>
      <c r="L181" s="656"/>
      <c r="M181" s="312"/>
      <c r="N181" s="1009"/>
      <c r="O181" s="1009"/>
      <c r="P181" s="308"/>
      <c r="Q181" s="535"/>
      <c r="R181" s="503"/>
    </row>
    <row r="182" spans="2:22" s="15" customFormat="1" ht="34.5" customHeight="1" x14ac:dyDescent="0.25">
      <c r="B182" s="13"/>
      <c r="C182" s="1508" t="s">
        <v>455</v>
      </c>
      <c r="D182" s="1509"/>
      <c r="E182" s="1558" t="s">
        <v>252</v>
      </c>
      <c r="F182" s="1559"/>
      <c r="G182" s="1560"/>
      <c r="H182" s="231" t="s">
        <v>253</v>
      </c>
      <c r="I182" s="282"/>
      <c r="J182" s="649">
        <f>J183+J187+J190+J193+J196+J200+J203+J206+J210+J213+J214+J217+J218+J219+J220+J221</f>
        <v>55724570542</v>
      </c>
      <c r="K182" s="649">
        <f>K183+K187+K190+K193+K196+K200+K203+K206+K210+K213+K214+K217+K218+K219+K220+K221</f>
        <v>55724570542</v>
      </c>
      <c r="L182" s="649">
        <f>L183+L187+L190+L193+L196+L200+L203+L206+L210+L213+L214+L217+L218+L219+L220+L221</f>
        <v>55724570542</v>
      </c>
      <c r="M182" s="283">
        <f>M183+M187+M190+M193+M196+M200+M203+M206+M210+M213+M214+M217+M218+M219+M220+M221</f>
        <v>141790000000</v>
      </c>
      <c r="N182" s="1005"/>
      <c r="O182" s="1005"/>
      <c r="P182" s="104"/>
      <c r="Q182" s="529"/>
      <c r="R182" s="14"/>
      <c r="S182" s="16"/>
      <c r="T182" s="21"/>
      <c r="U182" s="21"/>
      <c r="V182" s="21"/>
    </row>
    <row r="183" spans="2:22" s="62" customFormat="1" ht="20.25" customHeight="1" x14ac:dyDescent="0.25">
      <c r="B183" s="59"/>
      <c r="C183" s="313"/>
      <c r="D183" s="314"/>
      <c r="E183" s="315" t="s">
        <v>5</v>
      </c>
      <c r="F183" s="1561" t="s">
        <v>254</v>
      </c>
      <c r="G183" s="1562"/>
      <c r="H183" s="1297" t="s">
        <v>255</v>
      </c>
      <c r="I183" s="317"/>
      <c r="J183" s="657">
        <f>SUM(J184:J186)</f>
        <v>26783487571</v>
      </c>
      <c r="K183" s="1428">
        <f>SUM(K184:K186)</f>
        <v>26783487571</v>
      </c>
      <c r="L183" s="1428">
        <f>SUM(L184:L186)</f>
        <v>26783487571</v>
      </c>
      <c r="M183" s="318">
        <f>SUM(M184:M186)</f>
        <v>100000000000</v>
      </c>
      <c r="N183" s="319"/>
      <c r="O183" s="319"/>
      <c r="P183" s="319"/>
      <c r="Q183" s="541"/>
      <c r="R183" s="504"/>
      <c r="S183" s="63"/>
      <c r="T183" s="731">
        <v>100000000000</v>
      </c>
      <c r="U183" s="731">
        <f>T183-M183</f>
        <v>0</v>
      </c>
      <c r="V183" s="731"/>
    </row>
    <row r="184" spans="2:22" s="1182" customFormat="1" ht="17.25" customHeight="1" x14ac:dyDescent="0.25">
      <c r="B184" s="1170"/>
      <c r="C184" s="1312"/>
      <c r="D184" s="1313"/>
      <c r="E184" s="1314"/>
      <c r="F184" s="1315" t="s">
        <v>46</v>
      </c>
      <c r="G184" s="1316" t="s">
        <v>256</v>
      </c>
      <c r="H184" s="1298" t="s">
        <v>257</v>
      </c>
      <c r="I184" s="1317">
        <v>7.0000000000000007E-2</v>
      </c>
      <c r="J184" s="1318">
        <v>26433487571</v>
      </c>
      <c r="K184" s="1318">
        <f>26433487571</f>
        <v>26433487571</v>
      </c>
      <c r="L184" s="1318">
        <v>26433487571</v>
      </c>
      <c r="M184" s="1319">
        <v>98975000000</v>
      </c>
      <c r="N184" s="1320"/>
      <c r="O184" s="1320"/>
      <c r="P184" s="1320"/>
      <c r="Q184" s="1321"/>
      <c r="R184" s="1322"/>
      <c r="S184" s="1323"/>
      <c r="T184" s="1444"/>
      <c r="U184" s="1444"/>
      <c r="V184" s="1444"/>
    </row>
    <row r="185" spans="2:22" s="1182" customFormat="1" ht="24.75" customHeight="1" x14ac:dyDescent="0.25">
      <c r="B185" s="1170"/>
      <c r="C185" s="1312"/>
      <c r="D185" s="1313"/>
      <c r="E185" s="1314"/>
      <c r="F185" s="1315" t="s">
        <v>46</v>
      </c>
      <c r="G185" s="1477" t="s">
        <v>595</v>
      </c>
      <c r="H185" s="1299" t="s">
        <v>259</v>
      </c>
      <c r="I185" s="1324">
        <v>1</v>
      </c>
      <c r="J185" s="1325">
        <v>350000000</v>
      </c>
      <c r="K185" s="1325">
        <v>350000000</v>
      </c>
      <c r="L185" s="1325">
        <v>350000000</v>
      </c>
      <c r="M185" s="1326">
        <v>1025000000</v>
      </c>
      <c r="N185" s="1320"/>
      <c r="O185" s="1320"/>
      <c r="P185" s="1320"/>
      <c r="Q185" s="1327"/>
      <c r="R185" s="1322"/>
      <c r="S185" s="1323"/>
      <c r="T185" s="1444"/>
      <c r="U185" s="1444"/>
      <c r="V185" s="1444"/>
    </row>
    <row r="186" spans="2:22" s="113" customFormat="1" ht="15.75" hidden="1" customHeight="1" x14ac:dyDescent="0.25">
      <c r="B186" s="59"/>
      <c r="C186" s="320"/>
      <c r="D186" s="321"/>
      <c r="E186" s="322"/>
      <c r="F186" s="64" t="s">
        <v>46</v>
      </c>
      <c r="G186" s="323" t="s">
        <v>260</v>
      </c>
      <c r="H186" s="1300" t="s">
        <v>470</v>
      </c>
      <c r="I186" s="327">
        <v>1</v>
      </c>
      <c r="J186" s="658">
        <v>0</v>
      </c>
      <c r="K186" s="658">
        <v>0</v>
      </c>
      <c r="L186" s="658"/>
      <c r="M186" s="325"/>
      <c r="N186" s="67"/>
      <c r="O186" s="67"/>
      <c r="P186" s="67"/>
      <c r="Q186" s="514"/>
      <c r="R186" s="490"/>
      <c r="S186" s="151"/>
      <c r="T186" s="926"/>
      <c r="U186" s="926"/>
      <c r="V186" s="926"/>
    </row>
    <row r="187" spans="2:22" s="62" customFormat="1" ht="20.25" customHeight="1" x14ac:dyDescent="0.25">
      <c r="B187" s="59"/>
      <c r="C187" s="78"/>
      <c r="D187" s="45"/>
      <c r="E187" s="329" t="s">
        <v>10</v>
      </c>
      <c r="F187" s="1563" t="s">
        <v>261</v>
      </c>
      <c r="G187" s="1564"/>
      <c r="H187" s="1164" t="s">
        <v>262</v>
      </c>
      <c r="I187" s="330"/>
      <c r="J187" s="659">
        <f>SUM(J188:J189)</f>
        <v>5175000000</v>
      </c>
      <c r="K187" s="1430">
        <f>SUM(K188:K189)</f>
        <v>5175000000</v>
      </c>
      <c r="L187" s="1430">
        <f>SUM(L188:L189)</f>
        <v>5175000000</v>
      </c>
      <c r="M187" s="331">
        <f>SUM(M188:M189)</f>
        <v>25500000000</v>
      </c>
      <c r="N187" s="319"/>
      <c r="O187" s="319"/>
      <c r="P187" s="319"/>
      <c r="Q187" s="543"/>
      <c r="R187" s="504"/>
      <c r="S187" s="63"/>
      <c r="T187" s="731">
        <v>25500000000</v>
      </c>
      <c r="U187" s="731">
        <f>T187-M187</f>
        <v>0</v>
      </c>
      <c r="V187" s="731"/>
    </row>
    <row r="188" spans="2:22" s="1182" customFormat="1" ht="15.75" customHeight="1" x14ac:dyDescent="0.25">
      <c r="B188" s="1170"/>
      <c r="C188" s="1312"/>
      <c r="D188" s="1313"/>
      <c r="E188" s="1314"/>
      <c r="F188" s="1315" t="s">
        <v>46</v>
      </c>
      <c r="G188" s="1316" t="s">
        <v>408</v>
      </c>
      <c r="H188" s="1299" t="s">
        <v>263</v>
      </c>
      <c r="I188" s="1324">
        <v>0.57999999999999996</v>
      </c>
      <c r="J188" s="1325">
        <f>5000000000</f>
        <v>5000000000</v>
      </c>
      <c r="K188" s="1325">
        <f>5000000000</f>
        <v>5000000000</v>
      </c>
      <c r="L188" s="1325">
        <f>5000000000</f>
        <v>5000000000</v>
      </c>
      <c r="M188" s="1326">
        <f>25050000000</f>
        <v>25050000000</v>
      </c>
      <c r="N188" s="1320"/>
      <c r="O188" s="1320"/>
      <c r="P188" s="1320"/>
      <c r="Q188" s="1327"/>
      <c r="R188" s="1322"/>
      <c r="S188" s="1323"/>
      <c r="T188" s="1444"/>
      <c r="U188" s="1444"/>
      <c r="V188" s="1444"/>
    </row>
    <row r="189" spans="2:22" s="1182" customFormat="1" ht="25.5" customHeight="1" x14ac:dyDescent="0.25">
      <c r="B189" s="1170"/>
      <c r="C189" s="1312"/>
      <c r="D189" s="1313"/>
      <c r="E189" s="1314"/>
      <c r="F189" s="1315" t="s">
        <v>46</v>
      </c>
      <c r="G189" s="1316" t="s">
        <v>407</v>
      </c>
      <c r="H189" s="1299" t="s">
        <v>264</v>
      </c>
      <c r="I189" s="1324">
        <v>1</v>
      </c>
      <c r="J189" s="1325">
        <v>175000000</v>
      </c>
      <c r="K189" s="1325">
        <v>175000000</v>
      </c>
      <c r="L189" s="1325">
        <v>175000000</v>
      </c>
      <c r="M189" s="1326">
        <v>450000000</v>
      </c>
      <c r="N189" s="1320"/>
      <c r="O189" s="1320"/>
      <c r="P189" s="1320"/>
      <c r="Q189" s="1327"/>
      <c r="R189" s="1322"/>
      <c r="S189" s="1323"/>
      <c r="T189" s="1444"/>
      <c r="U189" s="1444"/>
      <c r="V189" s="1444"/>
    </row>
    <row r="190" spans="2:22" s="62" customFormat="1" ht="25.5" customHeight="1" x14ac:dyDescent="0.25">
      <c r="B190" s="59"/>
      <c r="C190" s="78"/>
      <c r="D190" s="45"/>
      <c r="E190" s="329" t="s">
        <v>13</v>
      </c>
      <c r="F190" s="1563" t="s">
        <v>265</v>
      </c>
      <c r="G190" s="1564"/>
      <c r="H190" s="1164" t="s">
        <v>464</v>
      </c>
      <c r="I190" s="330"/>
      <c r="J190" s="659">
        <f>SUM(J191:J192)</f>
        <v>1000000000</v>
      </c>
      <c r="K190" s="659">
        <f>SUM(K191:K192)</f>
        <v>1000000000</v>
      </c>
      <c r="L190" s="659">
        <f>SUM(L191:L192)</f>
        <v>1000000000</v>
      </c>
      <c r="M190" s="331">
        <f>SUM(M191:M192)</f>
        <v>500000000</v>
      </c>
      <c r="N190" s="1010"/>
      <c r="O190" s="1010"/>
      <c r="P190" s="319"/>
      <c r="Q190" s="543"/>
      <c r="R190" s="504"/>
      <c r="S190" s="63"/>
      <c r="T190" s="731"/>
      <c r="U190" s="731"/>
      <c r="V190" s="731"/>
    </row>
    <row r="191" spans="2:22" s="1334" customFormat="1" ht="25.5" customHeight="1" x14ac:dyDescent="0.25">
      <c r="B191" s="1170"/>
      <c r="C191" s="1328"/>
      <c r="D191" s="1329"/>
      <c r="E191" s="1330"/>
      <c r="F191" s="1331" t="s">
        <v>46</v>
      </c>
      <c r="G191" s="1316" t="s">
        <v>266</v>
      </c>
      <c r="H191" s="1301" t="s">
        <v>267</v>
      </c>
      <c r="I191" s="1332">
        <v>1</v>
      </c>
      <c r="J191" s="1325">
        <v>500000000</v>
      </c>
      <c r="K191" s="1325">
        <v>500000000</v>
      </c>
      <c r="L191" s="1325">
        <v>500000000</v>
      </c>
      <c r="M191" s="1326">
        <v>500000000</v>
      </c>
      <c r="N191" s="1320"/>
      <c r="O191" s="1320"/>
      <c r="P191" s="1320"/>
      <c r="Q191" s="1327"/>
      <c r="R191" s="1322"/>
      <c r="S191" s="1333"/>
      <c r="T191" s="1450"/>
      <c r="U191" s="1450"/>
      <c r="V191" s="1450"/>
    </row>
    <row r="192" spans="2:22" s="1339" customFormat="1" ht="21" customHeight="1" x14ac:dyDescent="0.25">
      <c r="B192" s="1170"/>
      <c r="C192" s="1335"/>
      <c r="D192" s="1336"/>
      <c r="E192" s="1337"/>
      <c r="F192" s="1331" t="s">
        <v>46</v>
      </c>
      <c r="G192" s="1316" t="s">
        <v>268</v>
      </c>
      <c r="H192" s="1301" t="s">
        <v>269</v>
      </c>
      <c r="I192" s="1332">
        <v>1</v>
      </c>
      <c r="J192" s="1325">
        <v>500000000</v>
      </c>
      <c r="K192" s="1325">
        <v>500000000</v>
      </c>
      <c r="L192" s="1325">
        <v>500000000</v>
      </c>
      <c r="M192" s="1326">
        <v>0</v>
      </c>
      <c r="N192" s="1320"/>
      <c r="O192" s="1320"/>
      <c r="P192" s="1320"/>
      <c r="Q192" s="1327"/>
      <c r="R192" s="1322"/>
      <c r="S192" s="1338"/>
      <c r="T192" s="1451"/>
      <c r="U192" s="1451"/>
      <c r="V192" s="1451"/>
    </row>
    <row r="193" spans="2:22" s="29" customFormat="1" ht="21" customHeight="1" x14ac:dyDescent="0.25">
      <c r="B193" s="13"/>
      <c r="C193" s="944"/>
      <c r="D193" s="140"/>
      <c r="E193" s="140" t="s">
        <v>16</v>
      </c>
      <c r="F193" s="1618" t="s">
        <v>270</v>
      </c>
      <c r="G193" s="1620"/>
      <c r="H193" s="1302" t="s">
        <v>271</v>
      </c>
      <c r="I193" s="134"/>
      <c r="J193" s="660">
        <f>J194+J195</f>
        <v>1045000000</v>
      </c>
      <c r="K193" s="660">
        <f>K194+K195</f>
        <v>1045000000</v>
      </c>
      <c r="L193" s="660">
        <f>L194+L195</f>
        <v>1045000000</v>
      </c>
      <c r="M193" s="60">
        <f>M194+M195</f>
        <v>1045000000</v>
      </c>
      <c r="N193" s="1011"/>
      <c r="O193" s="1011"/>
      <c r="P193" s="61"/>
      <c r="Q193" s="536"/>
      <c r="R193" s="489"/>
      <c r="S193" s="63"/>
      <c r="T193" s="396"/>
      <c r="U193" s="396"/>
      <c r="V193" s="396"/>
    </row>
    <row r="194" spans="2:22" s="1347" customFormat="1" ht="27" customHeight="1" x14ac:dyDescent="0.25">
      <c r="B194" s="1340"/>
      <c r="C194" s="1341"/>
      <c r="D194" s="1342"/>
      <c r="E194" s="1342"/>
      <c r="F194" s="1315" t="s">
        <v>46</v>
      </c>
      <c r="G194" s="1316" t="s">
        <v>272</v>
      </c>
      <c r="H194" s="1301" t="s">
        <v>273</v>
      </c>
      <c r="I194" s="1343">
        <v>1</v>
      </c>
      <c r="J194" s="1344">
        <v>1000000000</v>
      </c>
      <c r="K194" s="1344">
        <v>1000000000</v>
      </c>
      <c r="L194" s="1344">
        <f>1000000000</f>
        <v>1000000000</v>
      </c>
      <c r="M194" s="1345">
        <f>1000000000</f>
        <v>1000000000</v>
      </c>
      <c r="N194" s="1320"/>
      <c r="O194" s="1320"/>
      <c r="P194" s="1320"/>
      <c r="Q194" s="1346"/>
      <c r="R194" s="1322"/>
      <c r="S194" s="1333"/>
      <c r="T194" s="1452"/>
      <c r="U194" s="1452"/>
      <c r="V194" s="1452"/>
    </row>
    <row r="195" spans="2:22" s="1347" customFormat="1" ht="27" customHeight="1" x14ac:dyDescent="0.25">
      <c r="B195" s="1340"/>
      <c r="C195" s="1341"/>
      <c r="D195" s="1342"/>
      <c r="E195" s="1342"/>
      <c r="F195" s="1315" t="s">
        <v>46</v>
      </c>
      <c r="G195" s="1316" t="s">
        <v>274</v>
      </c>
      <c r="H195" s="1301" t="s">
        <v>274</v>
      </c>
      <c r="I195" s="1332">
        <v>1</v>
      </c>
      <c r="J195" s="1325">
        <v>45000000</v>
      </c>
      <c r="K195" s="1325">
        <v>45000000</v>
      </c>
      <c r="L195" s="1325">
        <v>45000000</v>
      </c>
      <c r="M195" s="1326">
        <v>45000000</v>
      </c>
      <c r="N195" s="1320"/>
      <c r="O195" s="1320"/>
      <c r="P195" s="1320"/>
      <c r="Q195" s="1327"/>
      <c r="R195" s="1322"/>
      <c r="S195" s="1333"/>
      <c r="T195" s="1452"/>
      <c r="U195" s="1452"/>
      <c r="V195" s="1452"/>
    </row>
    <row r="196" spans="2:22" s="62" customFormat="1" ht="21.75" customHeight="1" x14ac:dyDescent="0.25">
      <c r="B196" s="59"/>
      <c r="C196" s="78"/>
      <c r="D196" s="45"/>
      <c r="E196" s="329" t="s">
        <v>19</v>
      </c>
      <c r="F196" s="1548" t="s">
        <v>275</v>
      </c>
      <c r="G196" s="1549"/>
      <c r="H196" s="1303" t="s">
        <v>276</v>
      </c>
      <c r="I196" s="435"/>
      <c r="J196" s="660">
        <f>SUM(J197:J199)</f>
        <v>8750000000</v>
      </c>
      <c r="K196" s="660">
        <f>SUM(K197:K199)</f>
        <v>8750000000</v>
      </c>
      <c r="L196" s="660">
        <f>SUM(L197:L199)</f>
        <v>8750000000</v>
      </c>
      <c r="M196" s="60">
        <f>SUM(M197:M199)</f>
        <v>4650000000</v>
      </c>
      <c r="N196" s="61"/>
      <c r="O196" s="61"/>
      <c r="P196" s="61"/>
      <c r="Q196" s="536"/>
      <c r="R196" s="489"/>
      <c r="S196" s="63"/>
      <c r="T196" s="731"/>
      <c r="U196" s="731"/>
      <c r="V196" s="731"/>
    </row>
    <row r="197" spans="2:22" s="1334" customFormat="1" ht="15.75" customHeight="1" x14ac:dyDescent="0.25">
      <c r="B197" s="1170"/>
      <c r="C197" s="1328"/>
      <c r="D197" s="1329"/>
      <c r="E197" s="1330"/>
      <c r="F197" s="1315" t="s">
        <v>46</v>
      </c>
      <c r="G197" s="1316" t="s">
        <v>277</v>
      </c>
      <c r="H197" s="1301" t="s">
        <v>278</v>
      </c>
      <c r="I197" s="1348">
        <v>1</v>
      </c>
      <c r="J197" s="1325">
        <v>8405000000</v>
      </c>
      <c r="K197" s="1325">
        <v>8405000000</v>
      </c>
      <c r="L197" s="1325">
        <v>8405000000</v>
      </c>
      <c r="M197" s="1326">
        <f>8405000000-4100000000+100000000</f>
        <v>4405000000</v>
      </c>
      <c r="N197" s="1320"/>
      <c r="O197" s="1320"/>
      <c r="P197" s="1320"/>
      <c r="Q197" s="1349"/>
      <c r="R197" s="1322"/>
      <c r="S197" s="1333"/>
      <c r="T197" s="1450"/>
      <c r="U197" s="1450"/>
      <c r="V197" s="1450"/>
    </row>
    <row r="198" spans="2:22" s="1334" customFormat="1" ht="19.5" customHeight="1" x14ac:dyDescent="0.25">
      <c r="B198" s="1170"/>
      <c r="C198" s="1328"/>
      <c r="D198" s="1329"/>
      <c r="E198" s="1330"/>
      <c r="F198" s="1315" t="s">
        <v>46</v>
      </c>
      <c r="G198" s="1316" t="s">
        <v>279</v>
      </c>
      <c r="H198" s="1304" t="s">
        <v>280</v>
      </c>
      <c r="I198" s="1348">
        <v>1</v>
      </c>
      <c r="J198" s="1325">
        <v>245000000</v>
      </c>
      <c r="K198" s="1325">
        <v>245000000</v>
      </c>
      <c r="L198" s="1325">
        <v>245000000</v>
      </c>
      <c r="M198" s="1326">
        <v>245000000</v>
      </c>
      <c r="N198" s="1320"/>
      <c r="O198" s="1320"/>
      <c r="P198" s="1320"/>
      <c r="Q198" s="1349"/>
      <c r="R198" s="1322"/>
      <c r="S198" s="1333"/>
      <c r="T198" s="1450"/>
      <c r="U198" s="1450"/>
      <c r="V198" s="1450"/>
    </row>
    <row r="199" spans="2:22" s="1334" customFormat="1" ht="15.75" customHeight="1" x14ac:dyDescent="0.25">
      <c r="B199" s="1170"/>
      <c r="C199" s="1328"/>
      <c r="D199" s="1329"/>
      <c r="E199" s="1330"/>
      <c r="F199" s="1315" t="s">
        <v>46</v>
      </c>
      <c r="G199" s="1316" t="s">
        <v>281</v>
      </c>
      <c r="H199" s="1301" t="s">
        <v>282</v>
      </c>
      <c r="I199" s="1332">
        <v>1</v>
      </c>
      <c r="J199" s="1325">
        <v>100000000</v>
      </c>
      <c r="K199" s="1325">
        <v>100000000</v>
      </c>
      <c r="L199" s="1325">
        <v>100000000</v>
      </c>
      <c r="M199" s="1326">
        <v>0</v>
      </c>
      <c r="N199" s="1320"/>
      <c r="O199" s="1320"/>
      <c r="P199" s="1320"/>
      <c r="Q199" s="1327"/>
      <c r="R199" s="1322"/>
      <c r="S199" s="1333"/>
      <c r="T199" s="1450"/>
      <c r="U199" s="1450"/>
      <c r="V199" s="1450"/>
    </row>
    <row r="200" spans="2:22" s="29" customFormat="1" ht="26.25" customHeight="1" x14ac:dyDescent="0.25">
      <c r="B200" s="13"/>
      <c r="C200" s="87"/>
      <c r="D200" s="109"/>
      <c r="E200" s="109" t="s">
        <v>27</v>
      </c>
      <c r="F200" s="1548" t="s">
        <v>283</v>
      </c>
      <c r="G200" s="1549"/>
      <c r="H200" s="1303" t="s">
        <v>284</v>
      </c>
      <c r="I200" s="435"/>
      <c r="J200" s="660">
        <f>J201+J202</f>
        <v>1045000000</v>
      </c>
      <c r="K200" s="660">
        <f>K201+K202</f>
        <v>1045000000</v>
      </c>
      <c r="L200" s="660">
        <f>L201+L202</f>
        <v>1045000000</v>
      </c>
      <c r="M200" s="60">
        <f>M201+M202</f>
        <v>1045000000</v>
      </c>
      <c r="N200" s="61"/>
      <c r="O200" s="61"/>
      <c r="P200" s="61"/>
      <c r="Q200" s="536"/>
      <c r="R200" s="489"/>
      <c r="S200" s="63"/>
      <c r="T200" s="396"/>
      <c r="U200" s="396"/>
      <c r="V200" s="396"/>
    </row>
    <row r="201" spans="2:22" s="1347" customFormat="1" ht="13.5" x14ac:dyDescent="0.25">
      <c r="B201" s="1340"/>
      <c r="C201" s="1341"/>
      <c r="D201" s="1342"/>
      <c r="E201" s="1342"/>
      <c r="F201" s="1315" t="s">
        <v>46</v>
      </c>
      <c r="G201" s="1316" t="s">
        <v>285</v>
      </c>
      <c r="H201" s="1301" t="s">
        <v>286</v>
      </c>
      <c r="I201" s="1343">
        <v>1</v>
      </c>
      <c r="J201" s="1344">
        <v>1000000000</v>
      </c>
      <c r="K201" s="1344">
        <v>1000000000</v>
      </c>
      <c r="L201" s="1344">
        <v>1000000000</v>
      </c>
      <c r="M201" s="1345">
        <v>1000000000</v>
      </c>
      <c r="N201" s="1320"/>
      <c r="O201" s="1320"/>
      <c r="P201" s="1320"/>
      <c r="Q201" s="1346"/>
      <c r="R201" s="1322"/>
      <c r="S201" s="1333"/>
      <c r="T201" s="1452"/>
      <c r="U201" s="1452"/>
      <c r="V201" s="1452"/>
    </row>
    <row r="202" spans="2:22" s="1347" customFormat="1" ht="26.25" customHeight="1" x14ac:dyDescent="0.25">
      <c r="B202" s="1340"/>
      <c r="C202" s="1341"/>
      <c r="D202" s="1342"/>
      <c r="E202" s="1342"/>
      <c r="F202" s="1331" t="s">
        <v>46</v>
      </c>
      <c r="G202" s="1316" t="s">
        <v>287</v>
      </c>
      <c r="H202" s="1301" t="s">
        <v>288</v>
      </c>
      <c r="I202" s="1332">
        <v>1</v>
      </c>
      <c r="J202" s="1344">
        <v>45000000</v>
      </c>
      <c r="K202" s="1344">
        <v>45000000</v>
      </c>
      <c r="L202" s="1344">
        <v>45000000</v>
      </c>
      <c r="M202" s="1345">
        <v>45000000</v>
      </c>
      <c r="N202" s="1320"/>
      <c r="O202" s="1320"/>
      <c r="P202" s="1320"/>
      <c r="Q202" s="1327"/>
      <c r="R202" s="1322"/>
      <c r="S202" s="1333"/>
      <c r="T202" s="1452"/>
      <c r="U202" s="1452"/>
      <c r="V202" s="1452"/>
    </row>
    <row r="203" spans="2:22" s="29" customFormat="1" ht="23.25" customHeight="1" x14ac:dyDescent="0.25">
      <c r="B203" s="13"/>
      <c r="C203" s="87"/>
      <c r="D203" s="109"/>
      <c r="E203" s="109" t="s">
        <v>30</v>
      </c>
      <c r="F203" s="1548" t="s">
        <v>289</v>
      </c>
      <c r="G203" s="1549"/>
      <c r="H203" s="1303" t="s">
        <v>290</v>
      </c>
      <c r="I203" s="435">
        <v>1</v>
      </c>
      <c r="J203" s="660">
        <f>J204+J205</f>
        <v>3500000000</v>
      </c>
      <c r="K203" s="660">
        <f>K204+K205</f>
        <v>3500000000</v>
      </c>
      <c r="L203" s="660">
        <f>L204+L205</f>
        <v>3500000000</v>
      </c>
      <c r="M203" s="60">
        <f>M204+M205</f>
        <v>3500000000</v>
      </c>
      <c r="N203" s="61"/>
      <c r="O203" s="61"/>
      <c r="P203" s="61"/>
      <c r="Q203" s="536"/>
      <c r="R203" s="489"/>
      <c r="S203" s="63" t="s">
        <v>291</v>
      </c>
      <c r="T203" s="396"/>
      <c r="U203" s="396"/>
      <c r="V203" s="396"/>
    </row>
    <row r="204" spans="2:22" s="1347" customFormat="1" ht="15" customHeight="1" x14ac:dyDescent="0.25">
      <c r="B204" s="1340"/>
      <c r="C204" s="1350"/>
      <c r="D204" s="1351"/>
      <c r="E204" s="1351"/>
      <c r="F204" s="1331" t="s">
        <v>46</v>
      </c>
      <c r="G204" s="1316" t="s">
        <v>292</v>
      </c>
      <c r="H204" s="1301" t="s">
        <v>293</v>
      </c>
      <c r="I204" s="1352">
        <v>1</v>
      </c>
      <c r="J204" s="1344">
        <f>3500000000-125000000</f>
        <v>3375000000</v>
      </c>
      <c r="K204" s="1344">
        <f>3500000000-125000000</f>
        <v>3375000000</v>
      </c>
      <c r="L204" s="1344">
        <f>3500000000-125000000</f>
        <v>3375000000</v>
      </c>
      <c r="M204" s="1345">
        <f>3500000000-125000000</f>
        <v>3375000000</v>
      </c>
      <c r="N204" s="1320"/>
      <c r="O204" s="1320"/>
      <c r="P204" s="1320"/>
      <c r="Q204" s="1353"/>
      <c r="R204" s="1322"/>
      <c r="S204" s="1333" t="s">
        <v>427</v>
      </c>
      <c r="T204" s="1452"/>
      <c r="U204" s="1452"/>
      <c r="V204" s="1452"/>
    </row>
    <row r="205" spans="2:22" s="1347" customFormat="1" ht="23.25" customHeight="1" x14ac:dyDescent="0.25">
      <c r="B205" s="1340"/>
      <c r="C205" s="1341"/>
      <c r="D205" s="1342"/>
      <c r="E205" s="1342"/>
      <c r="F205" s="1331" t="s">
        <v>46</v>
      </c>
      <c r="G205" s="1316" t="s">
        <v>294</v>
      </c>
      <c r="H205" s="1301" t="s">
        <v>295</v>
      </c>
      <c r="I205" s="1332">
        <v>1</v>
      </c>
      <c r="J205" s="1325">
        <v>125000000</v>
      </c>
      <c r="K205" s="1325">
        <v>125000000</v>
      </c>
      <c r="L205" s="1325">
        <v>125000000</v>
      </c>
      <c r="M205" s="1326">
        <v>125000000</v>
      </c>
      <c r="N205" s="1320"/>
      <c r="O205" s="1320"/>
      <c r="P205" s="1320"/>
      <c r="Q205" s="1327"/>
      <c r="R205" s="1322"/>
      <c r="S205" s="1333"/>
      <c r="T205" s="1452"/>
      <c r="U205" s="1452"/>
      <c r="V205" s="1452"/>
    </row>
    <row r="206" spans="2:22" s="29" customFormat="1" ht="23.25" customHeight="1" x14ac:dyDescent="0.25">
      <c r="B206" s="13"/>
      <c r="C206" s="54"/>
      <c r="D206" s="55"/>
      <c r="E206" s="55" t="s">
        <v>8</v>
      </c>
      <c r="F206" s="1548" t="s">
        <v>296</v>
      </c>
      <c r="G206" s="1549"/>
      <c r="H206" s="1305" t="s">
        <v>297</v>
      </c>
      <c r="I206" s="70"/>
      <c r="J206" s="617">
        <f>SUM(J207:J209)</f>
        <v>1600000000</v>
      </c>
      <c r="K206" s="617">
        <f>SUM(K207:K209)</f>
        <v>1600000000</v>
      </c>
      <c r="L206" s="617">
        <f>SUM(L207:L209)</f>
        <v>1600000000</v>
      </c>
      <c r="M206" s="71">
        <f>SUM(M207:M209)</f>
        <v>800000000</v>
      </c>
      <c r="N206" s="61"/>
      <c r="O206" s="61"/>
      <c r="P206" s="61"/>
      <c r="Q206" s="562"/>
      <c r="R206" s="489"/>
      <c r="S206" s="63"/>
      <c r="T206" s="396"/>
      <c r="U206" s="396"/>
      <c r="V206" s="396"/>
    </row>
    <row r="207" spans="2:22" s="1347" customFormat="1" ht="26.25" customHeight="1" x14ac:dyDescent="0.25">
      <c r="B207" s="1340"/>
      <c r="C207" s="1350"/>
      <c r="D207" s="1351"/>
      <c r="E207" s="1351"/>
      <c r="F207" s="1331" t="s">
        <v>46</v>
      </c>
      <c r="G207" s="1316" t="s">
        <v>499</v>
      </c>
      <c r="H207" s="1301" t="s">
        <v>500</v>
      </c>
      <c r="I207" s="1354">
        <v>1</v>
      </c>
      <c r="J207" s="1344">
        <f>1490000000+50000000</f>
        <v>1540000000</v>
      </c>
      <c r="K207" s="1344">
        <v>1490000000</v>
      </c>
      <c r="L207" s="1344">
        <v>1490000000</v>
      </c>
      <c r="M207" s="1345">
        <v>770000000</v>
      </c>
      <c r="N207" s="1320"/>
      <c r="O207" s="1320"/>
      <c r="P207" s="1320"/>
      <c r="Q207" s="1355"/>
      <c r="R207" s="1322"/>
      <c r="S207" s="1333"/>
      <c r="T207" s="1452"/>
      <c r="U207" s="1452"/>
      <c r="V207" s="1452"/>
    </row>
    <row r="208" spans="2:22" s="1347" customFormat="1" ht="24.75" hidden="1" customHeight="1" x14ac:dyDescent="0.25">
      <c r="B208" s="1340"/>
      <c r="C208" s="1350"/>
      <c r="D208" s="1351"/>
      <c r="E208" s="1351"/>
      <c r="F208" s="1331" t="s">
        <v>46</v>
      </c>
      <c r="G208" s="1316" t="s">
        <v>298</v>
      </c>
      <c r="H208" s="1301" t="s">
        <v>299</v>
      </c>
      <c r="I208" s="1354">
        <v>1</v>
      </c>
      <c r="J208" s="1344">
        <v>0</v>
      </c>
      <c r="K208" s="1344">
        <v>50000000</v>
      </c>
      <c r="L208" s="1344">
        <v>50000000</v>
      </c>
      <c r="M208" s="1345">
        <v>0</v>
      </c>
      <c r="N208" s="1320"/>
      <c r="O208" s="1320"/>
      <c r="P208" s="1320"/>
      <c r="Q208" s="1355"/>
      <c r="R208" s="1322"/>
      <c r="S208" s="1333"/>
      <c r="T208" s="1452"/>
      <c r="U208" s="1452"/>
      <c r="V208" s="1452"/>
    </row>
    <row r="209" spans="2:22" s="1347" customFormat="1" ht="16.5" customHeight="1" x14ac:dyDescent="0.25">
      <c r="B209" s="1340"/>
      <c r="C209" s="1350"/>
      <c r="D209" s="1351"/>
      <c r="E209" s="1351"/>
      <c r="F209" s="1331" t="s">
        <v>46</v>
      </c>
      <c r="G209" s="1316" t="s">
        <v>300</v>
      </c>
      <c r="H209" s="1301" t="s">
        <v>301</v>
      </c>
      <c r="I209" s="1354">
        <v>1</v>
      </c>
      <c r="J209" s="1344">
        <v>60000000</v>
      </c>
      <c r="K209" s="1344">
        <v>60000000</v>
      </c>
      <c r="L209" s="1344">
        <v>60000000</v>
      </c>
      <c r="M209" s="1345">
        <v>30000000</v>
      </c>
      <c r="N209" s="1320"/>
      <c r="O209" s="1320"/>
      <c r="P209" s="1320"/>
      <c r="Q209" s="1355"/>
      <c r="R209" s="1322"/>
      <c r="S209" s="1333"/>
      <c r="T209" s="1452"/>
      <c r="U209" s="1452"/>
      <c r="V209" s="1452"/>
    </row>
    <row r="210" spans="2:22" s="349" customFormat="1" ht="23.25" customHeight="1" x14ac:dyDescent="0.25">
      <c r="B210" s="339"/>
      <c r="C210" s="347"/>
      <c r="D210" s="55"/>
      <c r="E210" s="55" t="s">
        <v>22</v>
      </c>
      <c r="F210" s="1550" t="s">
        <v>302</v>
      </c>
      <c r="G210" s="1551"/>
      <c r="H210" s="1306" t="s">
        <v>303</v>
      </c>
      <c r="I210" s="439"/>
      <c r="J210" s="617">
        <f>SUM(J211:J212)</f>
        <v>3100000000</v>
      </c>
      <c r="K210" s="617">
        <f>SUM(K211:K212)</f>
        <v>3100000000</v>
      </c>
      <c r="L210" s="617">
        <f>SUM(L211:L212)</f>
        <v>3100000000</v>
      </c>
      <c r="M210" s="71">
        <f>SUM(M211:M212)</f>
        <v>2100000000</v>
      </c>
      <c r="N210" s="61"/>
      <c r="O210" s="61"/>
      <c r="P210" s="61"/>
      <c r="Q210" s="564"/>
      <c r="R210" s="489"/>
      <c r="S210" s="350"/>
      <c r="T210" s="1453"/>
      <c r="U210" s="1453"/>
      <c r="V210" s="1453"/>
    </row>
    <row r="211" spans="2:22" s="1363" customFormat="1" ht="15" customHeight="1" x14ac:dyDescent="0.25">
      <c r="B211" s="1356"/>
      <c r="C211" s="1357"/>
      <c r="D211" s="1239"/>
      <c r="E211" s="1239"/>
      <c r="F211" s="1358" t="s">
        <v>46</v>
      </c>
      <c r="G211" s="1359" t="s">
        <v>304</v>
      </c>
      <c r="H211" s="1307" t="s">
        <v>305</v>
      </c>
      <c r="I211" s="1360">
        <v>1</v>
      </c>
      <c r="J211" s="1344">
        <v>3000000000</v>
      </c>
      <c r="K211" s="1344">
        <v>3000000000</v>
      </c>
      <c r="L211" s="1344">
        <v>3000000000</v>
      </c>
      <c r="M211" s="1345">
        <f>3000000000-1000000000</f>
        <v>2000000000</v>
      </c>
      <c r="N211" s="1320"/>
      <c r="O211" s="1320"/>
      <c r="P211" s="1320"/>
      <c r="Q211" s="1361"/>
      <c r="R211" s="1322"/>
      <c r="S211" s="1362"/>
      <c r="T211" s="1454"/>
      <c r="U211" s="1454"/>
      <c r="V211" s="1454"/>
    </row>
    <row r="212" spans="2:22" s="1363" customFormat="1" ht="12.75" customHeight="1" x14ac:dyDescent="0.25">
      <c r="B212" s="1356"/>
      <c r="C212" s="1357"/>
      <c r="D212" s="1239"/>
      <c r="E212" s="1239"/>
      <c r="F212" s="1358" t="s">
        <v>46</v>
      </c>
      <c r="G212" s="1359" t="s">
        <v>306</v>
      </c>
      <c r="H212" s="1307" t="s">
        <v>307</v>
      </c>
      <c r="I212" s="1360">
        <v>1</v>
      </c>
      <c r="J212" s="1344">
        <v>100000000</v>
      </c>
      <c r="K212" s="1344">
        <v>100000000</v>
      </c>
      <c r="L212" s="1344">
        <v>100000000</v>
      </c>
      <c r="M212" s="1345">
        <v>100000000</v>
      </c>
      <c r="N212" s="1320"/>
      <c r="O212" s="1320"/>
      <c r="P212" s="1320"/>
      <c r="Q212" s="1361"/>
      <c r="R212" s="1322"/>
      <c r="S212" s="1362"/>
      <c r="T212" s="1454"/>
      <c r="U212" s="1454"/>
      <c r="V212" s="1454"/>
    </row>
    <row r="213" spans="2:22" s="343" customFormat="1" ht="23.25" customHeight="1" x14ac:dyDescent="0.25">
      <c r="B213" s="339"/>
      <c r="C213" s="766"/>
      <c r="D213" s="759"/>
      <c r="E213" s="759" t="s">
        <v>210</v>
      </c>
      <c r="F213" s="1563" t="s">
        <v>308</v>
      </c>
      <c r="G213" s="1564"/>
      <c r="H213" s="1308" t="s">
        <v>309</v>
      </c>
      <c r="I213" s="768">
        <v>1</v>
      </c>
      <c r="J213" s="617">
        <f>2500000000-323917029-50000000</f>
        <v>2126082971</v>
      </c>
      <c r="K213" s="617">
        <f>2500000000-323917029-50000000</f>
        <v>2126082971</v>
      </c>
      <c r="L213" s="617">
        <v>2126082971</v>
      </c>
      <c r="M213" s="71">
        <f>600000000-300000000</f>
        <v>300000000</v>
      </c>
      <c r="N213" s="1011"/>
      <c r="O213" s="1011"/>
      <c r="P213" s="61"/>
      <c r="Q213" s="565"/>
      <c r="R213" s="489"/>
      <c r="S213" s="344"/>
      <c r="T213" s="1455"/>
      <c r="U213" s="1455"/>
      <c r="V213" s="1455"/>
    </row>
    <row r="214" spans="2:22" s="345" customFormat="1" ht="23.25" customHeight="1" x14ac:dyDescent="0.25">
      <c r="B214" s="339"/>
      <c r="C214" s="54"/>
      <c r="D214" s="55"/>
      <c r="E214" s="55">
        <v>11</v>
      </c>
      <c r="F214" s="1550" t="s">
        <v>310</v>
      </c>
      <c r="G214" s="1551"/>
      <c r="H214" s="1307" t="s">
        <v>416</v>
      </c>
      <c r="I214" s="440"/>
      <c r="J214" s="617">
        <f>J215+J216</f>
        <v>800000000</v>
      </c>
      <c r="K214" s="617">
        <f>K215+K216</f>
        <v>800000000</v>
      </c>
      <c r="L214" s="617">
        <f>L215+L216</f>
        <v>800000000</v>
      </c>
      <c r="M214" s="71">
        <f>M215+M216</f>
        <v>800000000</v>
      </c>
      <c r="N214" s="61"/>
      <c r="O214" s="61"/>
      <c r="P214" s="61"/>
      <c r="Q214" s="566"/>
      <c r="R214" s="489"/>
      <c r="S214" s="346"/>
      <c r="T214" s="1456"/>
      <c r="U214" s="1456"/>
      <c r="V214" s="1456"/>
    </row>
    <row r="215" spans="2:22" s="1363" customFormat="1" ht="27" customHeight="1" x14ac:dyDescent="0.25">
      <c r="B215" s="1356"/>
      <c r="C215" s="1357"/>
      <c r="D215" s="1239"/>
      <c r="E215" s="1239"/>
      <c r="F215" s="1364" t="s">
        <v>46</v>
      </c>
      <c r="G215" s="1359" t="s">
        <v>311</v>
      </c>
      <c r="H215" s="1307" t="s">
        <v>312</v>
      </c>
      <c r="I215" s="1360"/>
      <c r="J215" s="1344">
        <v>500000000</v>
      </c>
      <c r="K215" s="1344">
        <v>500000000</v>
      </c>
      <c r="L215" s="1344">
        <v>500000000</v>
      </c>
      <c r="M215" s="1345">
        <v>500000000</v>
      </c>
      <c r="N215" s="1320"/>
      <c r="O215" s="1320"/>
      <c r="P215" s="1320"/>
      <c r="Q215" s="1361"/>
      <c r="R215" s="1322"/>
      <c r="S215" s="1362"/>
      <c r="T215" s="1454"/>
      <c r="U215" s="1454"/>
      <c r="V215" s="1454"/>
    </row>
    <row r="216" spans="2:22" s="1363" customFormat="1" ht="25.5" customHeight="1" x14ac:dyDescent="0.25">
      <c r="B216" s="1356"/>
      <c r="C216" s="1357"/>
      <c r="D216" s="1239"/>
      <c r="E216" s="1239"/>
      <c r="F216" s="1364" t="s">
        <v>46</v>
      </c>
      <c r="G216" s="1359" t="s">
        <v>313</v>
      </c>
      <c r="H216" s="1307" t="s">
        <v>314</v>
      </c>
      <c r="I216" s="1360"/>
      <c r="J216" s="1344">
        <v>300000000</v>
      </c>
      <c r="K216" s="1344">
        <v>300000000</v>
      </c>
      <c r="L216" s="1344">
        <v>300000000</v>
      </c>
      <c r="M216" s="1345">
        <v>300000000</v>
      </c>
      <c r="N216" s="1320"/>
      <c r="O216" s="1320"/>
      <c r="P216" s="1320"/>
      <c r="Q216" s="1361"/>
      <c r="R216" s="1322"/>
      <c r="S216" s="1362"/>
      <c r="T216" s="1454"/>
      <c r="U216" s="1454"/>
      <c r="V216" s="1454"/>
    </row>
    <row r="217" spans="2:22" s="29" customFormat="1" ht="27" customHeight="1" x14ac:dyDescent="0.25">
      <c r="B217" s="13"/>
      <c r="C217" s="87"/>
      <c r="D217" s="109"/>
      <c r="E217" s="109">
        <v>12</v>
      </c>
      <c r="F217" s="1542" t="s">
        <v>315</v>
      </c>
      <c r="G217" s="1543"/>
      <c r="H217" s="1309" t="s">
        <v>316</v>
      </c>
      <c r="I217" s="353">
        <v>1</v>
      </c>
      <c r="J217" s="660">
        <v>200000000</v>
      </c>
      <c r="K217" s="660">
        <v>200000000</v>
      </c>
      <c r="L217" s="660">
        <v>200000000</v>
      </c>
      <c r="M217" s="60">
        <v>200000000</v>
      </c>
      <c r="N217" s="61"/>
      <c r="O217" s="61"/>
      <c r="P217" s="61"/>
      <c r="Q217" s="567"/>
      <c r="R217" s="489"/>
      <c r="S217" s="28"/>
      <c r="T217" s="396"/>
      <c r="U217" s="396"/>
      <c r="V217" s="396"/>
    </row>
    <row r="218" spans="2:22" s="29" customFormat="1" ht="26.25" customHeight="1" x14ac:dyDescent="0.25">
      <c r="B218" s="13"/>
      <c r="C218" s="771"/>
      <c r="D218" s="140"/>
      <c r="E218" s="140">
        <v>13</v>
      </c>
      <c r="F218" s="1712" t="s">
        <v>317</v>
      </c>
      <c r="G218" s="1713"/>
      <c r="H218" s="1310" t="s">
        <v>318</v>
      </c>
      <c r="I218" s="773" t="s">
        <v>319</v>
      </c>
      <c r="J218" s="774">
        <v>100000000</v>
      </c>
      <c r="K218" s="774">
        <v>100000000</v>
      </c>
      <c r="L218" s="774">
        <v>100000000</v>
      </c>
      <c r="M218" s="775">
        <v>300000000</v>
      </c>
      <c r="N218" s="1012"/>
      <c r="O218" s="1012"/>
      <c r="P218" s="7"/>
      <c r="Q218" s="568"/>
      <c r="R218" s="1441"/>
      <c r="S218" s="28"/>
      <c r="T218" s="396"/>
      <c r="U218" s="396"/>
      <c r="V218" s="396"/>
    </row>
    <row r="219" spans="2:22" s="29" customFormat="1" ht="20.25" customHeight="1" x14ac:dyDescent="0.25">
      <c r="B219" s="13"/>
      <c r="C219" s="771"/>
      <c r="D219" s="140"/>
      <c r="E219" s="140">
        <v>14</v>
      </c>
      <c r="F219" s="1582" t="s">
        <v>320</v>
      </c>
      <c r="G219" s="1583"/>
      <c r="H219" s="1310" t="s">
        <v>321</v>
      </c>
      <c r="I219" s="773" t="s">
        <v>319</v>
      </c>
      <c r="J219" s="774">
        <v>200000000</v>
      </c>
      <c r="K219" s="774">
        <v>200000000</v>
      </c>
      <c r="L219" s="774">
        <v>200000000</v>
      </c>
      <c r="M219" s="775">
        <v>600000000</v>
      </c>
      <c r="N219" s="1012"/>
      <c r="O219" s="1012"/>
      <c r="P219" s="7"/>
      <c r="Q219" s="568"/>
      <c r="R219" s="1441"/>
      <c r="S219" s="28"/>
      <c r="T219" s="396"/>
      <c r="U219" s="396"/>
      <c r="V219" s="396"/>
    </row>
    <row r="220" spans="2:22" s="62" customFormat="1" ht="26.25" customHeight="1" x14ac:dyDescent="0.25">
      <c r="B220" s="59"/>
      <c r="C220" s="771"/>
      <c r="D220" s="140"/>
      <c r="E220" s="140">
        <v>15</v>
      </c>
      <c r="F220" s="1712" t="s">
        <v>322</v>
      </c>
      <c r="G220" s="1713"/>
      <c r="H220" s="1310" t="s">
        <v>323</v>
      </c>
      <c r="I220" s="777" t="s">
        <v>86</v>
      </c>
      <c r="J220" s="774">
        <v>100000000</v>
      </c>
      <c r="K220" s="774">
        <v>100000000</v>
      </c>
      <c r="L220" s="774">
        <v>100000000</v>
      </c>
      <c r="M220" s="775">
        <v>250000000</v>
      </c>
      <c r="N220" s="1012"/>
      <c r="O220" s="1012"/>
      <c r="P220" s="7"/>
      <c r="Q220" s="569"/>
      <c r="R220" s="1441"/>
      <c r="S220" s="148"/>
      <c r="T220" s="731"/>
      <c r="U220" s="731"/>
      <c r="V220" s="731"/>
    </row>
    <row r="221" spans="2:22" s="29" customFormat="1" ht="26.25" customHeight="1" x14ac:dyDescent="0.25">
      <c r="B221" s="13"/>
      <c r="C221" s="87"/>
      <c r="D221" s="109"/>
      <c r="E221" s="109">
        <v>16</v>
      </c>
      <c r="F221" s="1542" t="s">
        <v>324</v>
      </c>
      <c r="G221" s="1543"/>
      <c r="H221" s="1311" t="s">
        <v>325</v>
      </c>
      <c r="I221" s="353">
        <v>1</v>
      </c>
      <c r="J221" s="660">
        <v>200000000</v>
      </c>
      <c r="K221" s="660">
        <v>200000000</v>
      </c>
      <c r="L221" s="660">
        <v>200000000</v>
      </c>
      <c r="M221" s="60">
        <v>200000000</v>
      </c>
      <c r="N221" s="61"/>
      <c r="O221" s="61"/>
      <c r="P221" s="61"/>
      <c r="Q221" s="567"/>
      <c r="R221" s="489"/>
      <c r="S221" s="28"/>
      <c r="T221" s="396"/>
      <c r="U221" s="396"/>
      <c r="V221" s="396"/>
    </row>
    <row r="222" spans="2:22" ht="3" customHeight="1" x14ac:dyDescent="0.25">
      <c r="C222" s="95"/>
      <c r="D222" s="96"/>
      <c r="E222" s="96"/>
      <c r="F222" s="1540"/>
      <c r="G222" s="1541"/>
      <c r="H222" s="355"/>
      <c r="I222" s="356"/>
      <c r="J222" s="661"/>
      <c r="K222" s="661"/>
      <c r="L222" s="661"/>
      <c r="M222" s="357"/>
      <c r="N222" s="1013"/>
      <c r="O222" s="1013"/>
      <c r="P222" s="358"/>
      <c r="Q222" s="570"/>
      <c r="R222" s="505"/>
    </row>
    <row r="223" spans="2:22" s="15" customFormat="1" ht="25.5" customHeight="1" x14ac:dyDescent="0.25">
      <c r="B223" s="13"/>
      <c r="C223" s="1506" t="s">
        <v>456</v>
      </c>
      <c r="D223" s="1507"/>
      <c r="E223" s="1535" t="s">
        <v>326</v>
      </c>
      <c r="F223" s="1536"/>
      <c r="G223" s="1537"/>
      <c r="H223" s="359" t="s">
        <v>327</v>
      </c>
      <c r="I223" s="360"/>
      <c r="J223" s="641">
        <f>SUM(J224:J225)</f>
        <v>750000000</v>
      </c>
      <c r="K223" s="641">
        <f>SUM(K224:K225)</f>
        <v>750000000</v>
      </c>
      <c r="L223" s="641">
        <f>SUM(L224:L225)</f>
        <v>750000000</v>
      </c>
      <c r="M223" s="233">
        <f>SUM(M224:M225)</f>
        <v>750000000</v>
      </c>
      <c r="N223" s="1001"/>
      <c r="O223" s="1001"/>
      <c r="P223" s="26"/>
      <c r="Q223" s="571"/>
      <c r="R223" s="495"/>
      <c r="T223" s="21"/>
      <c r="U223" s="21"/>
      <c r="V223" s="21"/>
    </row>
    <row r="224" spans="2:22" s="29" customFormat="1" ht="18" customHeight="1" x14ac:dyDescent="0.25">
      <c r="B224" s="13"/>
      <c r="C224" s="39"/>
      <c r="D224" s="140"/>
      <c r="E224" s="109" t="s">
        <v>5</v>
      </c>
      <c r="F224" s="1533" t="s">
        <v>329</v>
      </c>
      <c r="G224" s="1534"/>
      <c r="H224" s="1365" t="s">
        <v>330</v>
      </c>
      <c r="I224" s="142" t="s">
        <v>328</v>
      </c>
      <c r="J224" s="629">
        <v>400000000</v>
      </c>
      <c r="K224" s="629">
        <v>400000000</v>
      </c>
      <c r="L224" s="629">
        <v>400000000</v>
      </c>
      <c r="M224" s="143">
        <v>400000000</v>
      </c>
      <c r="N224" s="144"/>
      <c r="O224" s="144"/>
      <c r="P224" s="144"/>
      <c r="Q224" s="561"/>
      <c r="R224" s="492"/>
      <c r="T224" s="396"/>
      <c r="U224" s="396"/>
      <c r="V224" s="396"/>
    </row>
    <row r="225" spans="2:22" s="29" customFormat="1" ht="18" customHeight="1" x14ac:dyDescent="0.25">
      <c r="B225" s="13"/>
      <c r="C225" s="39"/>
      <c r="D225" s="140"/>
      <c r="E225" s="109" t="s">
        <v>10</v>
      </c>
      <c r="F225" s="1533" t="s">
        <v>331</v>
      </c>
      <c r="G225" s="1534"/>
      <c r="H225" s="1365" t="s">
        <v>332</v>
      </c>
      <c r="I225" s="142" t="s">
        <v>319</v>
      </c>
      <c r="J225" s="629">
        <v>350000000</v>
      </c>
      <c r="K225" s="629">
        <v>350000000</v>
      </c>
      <c r="L225" s="629">
        <v>350000000</v>
      </c>
      <c r="M225" s="143">
        <v>350000000</v>
      </c>
      <c r="N225" s="144"/>
      <c r="O225" s="144"/>
      <c r="P225" s="144"/>
      <c r="Q225" s="561"/>
      <c r="R225" s="492"/>
      <c r="T225" s="396"/>
      <c r="U225" s="396"/>
      <c r="V225" s="396"/>
    </row>
    <row r="226" spans="2:22" ht="5.25" customHeight="1" x14ac:dyDescent="0.25">
      <c r="C226" s="363"/>
      <c r="D226" s="364"/>
      <c r="E226" s="276"/>
      <c r="F226" s="365"/>
      <c r="G226" s="366"/>
      <c r="H226" s="367"/>
      <c r="I226" s="368"/>
      <c r="J226" s="651"/>
      <c r="K226" s="651"/>
      <c r="L226" s="651"/>
      <c r="M226" s="290"/>
      <c r="N226" s="1007"/>
      <c r="O226" s="1007"/>
      <c r="Q226" s="572"/>
    </row>
    <row r="227" spans="2:22" s="15" customFormat="1" ht="27.75" customHeight="1" x14ac:dyDescent="0.25">
      <c r="B227" s="13"/>
      <c r="C227" s="1506" t="s">
        <v>457</v>
      </c>
      <c r="D227" s="1507"/>
      <c r="E227" s="1535" t="s">
        <v>333</v>
      </c>
      <c r="F227" s="1536"/>
      <c r="G227" s="1537"/>
      <c r="H227" s="359" t="s">
        <v>334</v>
      </c>
      <c r="I227" s="360"/>
      <c r="J227" s="641">
        <f>J228+J229</f>
        <v>2200000000</v>
      </c>
      <c r="K227" s="641">
        <f>K228+K229</f>
        <v>2200000000</v>
      </c>
      <c r="L227" s="641">
        <f>L228+L229</f>
        <v>2200000000</v>
      </c>
      <c r="M227" s="233">
        <f>M228+M229</f>
        <v>2976082971</v>
      </c>
      <c r="N227" s="1001"/>
      <c r="O227" s="1001"/>
      <c r="P227" s="26"/>
      <c r="Q227" s="571"/>
      <c r="R227" s="495"/>
      <c r="T227" s="21"/>
      <c r="U227" s="21"/>
      <c r="V227" s="21"/>
    </row>
    <row r="228" spans="2:22" s="29" customFormat="1" ht="18.75" customHeight="1" x14ac:dyDescent="0.25">
      <c r="B228" s="13"/>
      <c r="C228" s="39"/>
      <c r="D228" s="140"/>
      <c r="E228" s="109" t="s">
        <v>5</v>
      </c>
      <c r="F228" s="1538" t="s">
        <v>335</v>
      </c>
      <c r="G228" s="1539"/>
      <c r="H228" s="1365" t="s">
        <v>336</v>
      </c>
      <c r="I228" s="142" t="s">
        <v>109</v>
      </c>
      <c r="J228" s="629">
        <f>2000000000</f>
        <v>2000000000</v>
      </c>
      <c r="K228" s="629">
        <f>2000000000</f>
        <v>2000000000</v>
      </c>
      <c r="L228" s="629">
        <v>2000000000</v>
      </c>
      <c r="M228" s="143">
        <f>2000000000+776082971</f>
        <v>2776082971</v>
      </c>
      <c r="N228" s="144"/>
      <c r="O228" s="144"/>
      <c r="P228" s="144"/>
      <c r="Q228" s="561"/>
      <c r="R228" s="492"/>
      <c r="T228" s="396"/>
      <c r="U228" s="396"/>
      <c r="V228" s="396"/>
    </row>
    <row r="229" spans="2:22" s="362" customFormat="1" ht="18" customHeight="1" x14ac:dyDescent="0.25">
      <c r="B229" s="13"/>
      <c r="C229" s="39"/>
      <c r="D229" s="140"/>
      <c r="E229" s="109" t="s">
        <v>10</v>
      </c>
      <c r="F229" s="1533" t="s">
        <v>339</v>
      </c>
      <c r="G229" s="1534"/>
      <c r="H229" s="1365" t="s">
        <v>340</v>
      </c>
      <c r="I229" s="370" t="s">
        <v>244</v>
      </c>
      <c r="J229" s="662">
        <v>200000000</v>
      </c>
      <c r="K229" s="662">
        <v>200000000</v>
      </c>
      <c r="L229" s="662">
        <v>200000000</v>
      </c>
      <c r="M229" s="371">
        <v>200000000</v>
      </c>
      <c r="N229" s="144"/>
      <c r="O229" s="144"/>
      <c r="P229" s="144"/>
      <c r="Q229" s="573"/>
      <c r="R229" s="492"/>
      <c r="S229" s="361"/>
      <c r="T229" s="932"/>
      <c r="U229" s="932"/>
      <c r="V229" s="932"/>
    </row>
    <row r="230" spans="2:22" ht="3.75" customHeight="1" x14ac:dyDescent="0.25">
      <c r="C230" s="363"/>
      <c r="D230" s="364"/>
      <c r="E230" s="276"/>
      <c r="F230" s="365"/>
      <c r="G230" s="366"/>
      <c r="H230" s="367"/>
      <c r="I230" s="368"/>
      <c r="J230" s="651"/>
      <c r="K230" s="651"/>
      <c r="L230" s="651"/>
      <c r="M230" s="290"/>
      <c r="N230" s="1007"/>
      <c r="O230" s="1007"/>
      <c r="Q230" s="572"/>
    </row>
    <row r="231" spans="2:22" s="15" customFormat="1" ht="28.5" customHeight="1" x14ac:dyDescent="0.25">
      <c r="B231" s="13"/>
      <c r="C231" s="1506" t="s">
        <v>458</v>
      </c>
      <c r="D231" s="1507"/>
      <c r="E231" s="1535" t="s">
        <v>341</v>
      </c>
      <c r="F231" s="1536"/>
      <c r="G231" s="1537"/>
      <c r="H231" s="359" t="s">
        <v>342</v>
      </c>
      <c r="I231" s="360"/>
      <c r="J231" s="641">
        <f>SUM(J232:J236)</f>
        <v>1550000000</v>
      </c>
      <c r="K231" s="641">
        <f>SUM(K232:K236)</f>
        <v>1550000000</v>
      </c>
      <c r="L231" s="641">
        <f>SUM(L232:L236)</f>
        <v>1550000000</v>
      </c>
      <c r="M231" s="233">
        <f>SUM(M232:M236)</f>
        <v>1550000000</v>
      </c>
      <c r="N231" s="1001"/>
      <c r="O231" s="1001"/>
      <c r="P231" s="26"/>
      <c r="Q231" s="571"/>
      <c r="R231" s="495"/>
      <c r="T231" s="21"/>
      <c r="U231" s="21"/>
      <c r="V231" s="21"/>
    </row>
    <row r="232" spans="2:22" s="29" customFormat="1" ht="21" customHeight="1" x14ac:dyDescent="0.25">
      <c r="B232" s="13"/>
      <c r="C232" s="39"/>
      <c r="D232" s="140"/>
      <c r="E232" s="109" t="s">
        <v>5</v>
      </c>
      <c r="F232" s="1533" t="s">
        <v>343</v>
      </c>
      <c r="G232" s="1534"/>
      <c r="H232" s="1366" t="s">
        <v>344</v>
      </c>
      <c r="I232" s="370" t="s">
        <v>345</v>
      </c>
      <c r="J232" s="662">
        <v>600000000</v>
      </c>
      <c r="K232" s="662">
        <v>600000000</v>
      </c>
      <c r="L232" s="662">
        <v>600000000</v>
      </c>
      <c r="M232" s="371">
        <v>600000000</v>
      </c>
      <c r="N232" s="144"/>
      <c r="O232" s="144"/>
      <c r="P232" s="144"/>
      <c r="Q232" s="573"/>
      <c r="R232" s="492"/>
      <c r="T232" s="396"/>
      <c r="U232" s="396"/>
      <c r="V232" s="396"/>
    </row>
    <row r="233" spans="2:22" s="29" customFormat="1" ht="15.75" customHeight="1" x14ac:dyDescent="0.25">
      <c r="B233" s="13"/>
      <c r="C233" s="39"/>
      <c r="D233" s="140"/>
      <c r="E233" s="109" t="s">
        <v>10</v>
      </c>
      <c r="F233" s="1533" t="s">
        <v>346</v>
      </c>
      <c r="G233" s="1534"/>
      <c r="H233" s="1367" t="s">
        <v>347</v>
      </c>
      <c r="I233" s="370" t="s">
        <v>348</v>
      </c>
      <c r="J233" s="662">
        <v>400000000</v>
      </c>
      <c r="K233" s="662">
        <v>400000000</v>
      </c>
      <c r="L233" s="662">
        <v>400000000</v>
      </c>
      <c r="M233" s="371">
        <v>400000000</v>
      </c>
      <c r="N233" s="144"/>
      <c r="O233" s="144"/>
      <c r="P233" s="144"/>
      <c r="Q233" s="573"/>
      <c r="R233" s="492"/>
      <c r="T233" s="396"/>
      <c r="U233" s="396"/>
      <c r="V233" s="396"/>
    </row>
    <row r="234" spans="2:22" s="29" customFormat="1" ht="25.5" customHeight="1" x14ac:dyDescent="0.25">
      <c r="B234" s="13"/>
      <c r="C234" s="39"/>
      <c r="D234" s="140"/>
      <c r="E234" s="109" t="s">
        <v>13</v>
      </c>
      <c r="F234" s="1531" t="s">
        <v>349</v>
      </c>
      <c r="G234" s="1532"/>
      <c r="H234" s="1365" t="s">
        <v>350</v>
      </c>
      <c r="I234" s="142" t="s">
        <v>351</v>
      </c>
      <c r="J234" s="663">
        <v>200000000</v>
      </c>
      <c r="K234" s="663">
        <v>200000000</v>
      </c>
      <c r="L234" s="663">
        <v>200000000</v>
      </c>
      <c r="M234" s="372">
        <v>200000000</v>
      </c>
      <c r="N234" s="373"/>
      <c r="O234" s="373"/>
      <c r="P234" s="373"/>
      <c r="Q234" s="561"/>
      <c r="R234" s="492"/>
      <c r="T234" s="396"/>
      <c r="U234" s="396"/>
      <c r="V234" s="396"/>
    </row>
    <row r="235" spans="2:22" s="29" customFormat="1" ht="26.25" customHeight="1" x14ac:dyDescent="0.25">
      <c r="B235" s="13"/>
      <c r="C235" s="39"/>
      <c r="D235" s="140"/>
      <c r="E235" s="109" t="s">
        <v>16</v>
      </c>
      <c r="F235" s="1533" t="s">
        <v>352</v>
      </c>
      <c r="G235" s="1534"/>
      <c r="H235" s="1365" t="s">
        <v>350</v>
      </c>
      <c r="I235" s="142" t="s">
        <v>351</v>
      </c>
      <c r="J235" s="629">
        <v>200000000</v>
      </c>
      <c r="K235" s="629">
        <v>200000000</v>
      </c>
      <c r="L235" s="629">
        <v>200000000</v>
      </c>
      <c r="M235" s="143">
        <v>200000000</v>
      </c>
      <c r="N235" s="144"/>
      <c r="O235" s="144"/>
      <c r="P235" s="144"/>
      <c r="Q235" s="561"/>
      <c r="R235" s="492"/>
      <c r="T235" s="396"/>
      <c r="U235" s="396"/>
      <c r="V235" s="396"/>
    </row>
    <row r="236" spans="2:22" s="29" customFormat="1" ht="20.25" customHeight="1" x14ac:dyDescent="0.25">
      <c r="B236" s="13"/>
      <c r="C236" s="39"/>
      <c r="D236" s="140"/>
      <c r="E236" s="109" t="s">
        <v>19</v>
      </c>
      <c r="F236" s="1533" t="s">
        <v>353</v>
      </c>
      <c r="G236" s="1534"/>
      <c r="H236" s="1365" t="s">
        <v>354</v>
      </c>
      <c r="I236" s="142" t="s">
        <v>92</v>
      </c>
      <c r="J236" s="629">
        <v>150000000</v>
      </c>
      <c r="K236" s="629">
        <v>150000000</v>
      </c>
      <c r="L236" s="629">
        <v>150000000</v>
      </c>
      <c r="M236" s="143">
        <v>150000000</v>
      </c>
      <c r="N236" s="144"/>
      <c r="O236" s="144"/>
      <c r="P236" s="144"/>
      <c r="Q236" s="561"/>
      <c r="R236" s="492"/>
      <c r="T236" s="396"/>
      <c r="U236" s="396"/>
      <c r="V236" s="396"/>
    </row>
    <row r="237" spans="2:22" s="229" customFormat="1" ht="4.5" customHeight="1" x14ac:dyDescent="0.25">
      <c r="B237" s="59"/>
      <c r="C237" s="374"/>
      <c r="D237" s="375"/>
      <c r="E237" s="375"/>
      <c r="F237" s="1527"/>
      <c r="G237" s="1528"/>
      <c r="H237" s="376"/>
      <c r="I237" s="377"/>
      <c r="J237" s="664"/>
      <c r="K237" s="664"/>
      <c r="L237" s="664"/>
      <c r="M237" s="378"/>
      <c r="N237" s="101"/>
      <c r="O237" s="101"/>
      <c r="P237" s="101"/>
      <c r="Q237" s="574"/>
      <c r="R237" s="491"/>
      <c r="T237" s="925"/>
      <c r="U237" s="925"/>
      <c r="V237" s="925"/>
    </row>
    <row r="238" spans="2:22" s="15" customFormat="1" ht="37.5" customHeight="1" x14ac:dyDescent="0.25">
      <c r="B238" s="13"/>
      <c r="C238" s="1501" t="s">
        <v>459</v>
      </c>
      <c r="D238" s="1502"/>
      <c r="E238" s="1512" t="s">
        <v>355</v>
      </c>
      <c r="F238" s="1513"/>
      <c r="G238" s="1514"/>
      <c r="H238" s="231" t="s">
        <v>356</v>
      </c>
      <c r="I238" s="379"/>
      <c r="J238" s="649">
        <f>J239+J242+J244+J247+J248+J249+J251+J252</f>
        <v>5200000000</v>
      </c>
      <c r="K238" s="649">
        <f>K239+K242+K244+K247+K248+K249+K251+K252</f>
        <v>5200000000</v>
      </c>
      <c r="L238" s="649">
        <f>L239+L242+L244+L247+L248+L249+L251+L252</f>
        <v>5200000000</v>
      </c>
      <c r="M238" s="283">
        <f>M239+M242+M244+M247+M248+M249+M251+M252</f>
        <v>5200000000</v>
      </c>
      <c r="N238" s="1005"/>
      <c r="O238" s="1005"/>
      <c r="P238" s="104"/>
      <c r="Q238" s="575"/>
      <c r="R238" s="14"/>
      <c r="S238" s="145"/>
      <c r="T238" s="21"/>
      <c r="U238" s="396"/>
      <c r="V238" s="21"/>
    </row>
    <row r="239" spans="2:22" s="82" customFormat="1" ht="24.75" customHeight="1" x14ac:dyDescent="0.25">
      <c r="B239" s="59"/>
      <c r="C239" s="49"/>
      <c r="D239" s="79"/>
      <c r="E239" s="140" t="s">
        <v>5</v>
      </c>
      <c r="F239" s="1529" t="s">
        <v>357</v>
      </c>
      <c r="G239" s="1530"/>
      <c r="H239" s="380" t="s">
        <v>358</v>
      </c>
      <c r="I239" s="381" t="s">
        <v>244</v>
      </c>
      <c r="J239" s="659">
        <f>J240+J241</f>
        <v>950000000</v>
      </c>
      <c r="K239" s="659">
        <f>K240+K241</f>
        <v>950000000</v>
      </c>
      <c r="L239" s="659">
        <f>L240+L241</f>
        <v>950000000</v>
      </c>
      <c r="M239" s="331">
        <f>M240+M241</f>
        <v>950000000</v>
      </c>
      <c r="N239" s="319"/>
      <c r="O239" s="319"/>
      <c r="P239" s="319"/>
      <c r="Q239" s="576"/>
      <c r="R239" s="504"/>
      <c r="S239" s="63"/>
      <c r="T239" s="155"/>
      <c r="U239" s="731"/>
      <c r="V239" s="155"/>
    </row>
    <row r="240" spans="2:22" s="82" customFormat="1" ht="16.5" customHeight="1" x14ac:dyDescent="0.25">
      <c r="B240" s="59"/>
      <c r="C240" s="49"/>
      <c r="D240" s="79"/>
      <c r="E240" s="40"/>
      <c r="F240" s="382" t="s">
        <v>46</v>
      </c>
      <c r="G240" s="383" t="s">
        <v>357</v>
      </c>
      <c r="H240" s="384"/>
      <c r="I240" s="385"/>
      <c r="J240" s="665">
        <v>550000000</v>
      </c>
      <c r="K240" s="665">
        <v>550000000</v>
      </c>
      <c r="L240" s="665">
        <v>550000000</v>
      </c>
      <c r="M240" s="386">
        <v>550000000</v>
      </c>
      <c r="N240" s="387"/>
      <c r="O240" s="387"/>
      <c r="P240" s="387"/>
      <c r="Q240" s="577"/>
      <c r="R240" s="506"/>
      <c r="S240" s="63"/>
      <c r="T240" s="155"/>
      <c r="U240" s="731"/>
      <c r="V240" s="155"/>
    </row>
    <row r="241" spans="2:22" s="306" customFormat="1" x14ac:dyDescent="0.25">
      <c r="B241" s="13"/>
      <c r="C241" s="263"/>
      <c r="D241" s="388"/>
      <c r="E241" s="156"/>
      <c r="F241" s="389" t="s">
        <v>46</v>
      </c>
      <c r="G241" s="390" t="s">
        <v>359</v>
      </c>
      <c r="H241" s="391"/>
      <c r="I241" s="392"/>
      <c r="J241" s="666">
        <v>400000000</v>
      </c>
      <c r="K241" s="666">
        <v>400000000</v>
      </c>
      <c r="L241" s="666">
        <v>400000000</v>
      </c>
      <c r="M241" s="393">
        <v>400000000</v>
      </c>
      <c r="N241" s="387"/>
      <c r="O241" s="387"/>
      <c r="P241" s="387"/>
      <c r="Q241" s="578"/>
      <c r="R241" s="506"/>
      <c r="T241" s="928"/>
      <c r="U241" s="928"/>
      <c r="V241" s="928"/>
    </row>
    <row r="242" spans="2:22" s="29" customFormat="1" ht="21.75" customHeight="1" x14ac:dyDescent="0.25">
      <c r="B242" s="13"/>
      <c r="C242" s="49"/>
      <c r="D242" s="79"/>
      <c r="E242" s="109" t="s">
        <v>10</v>
      </c>
      <c r="F242" s="1517" t="s">
        <v>360</v>
      </c>
      <c r="G242" s="1518"/>
      <c r="H242" s="394" t="s">
        <v>361</v>
      </c>
      <c r="I242" s="381" t="s">
        <v>244</v>
      </c>
      <c r="J242" s="667">
        <f>J243</f>
        <v>1000000000</v>
      </c>
      <c r="K242" s="667">
        <f>K243</f>
        <v>1000000000</v>
      </c>
      <c r="L242" s="667">
        <f>L243</f>
        <v>1000000000</v>
      </c>
      <c r="M242" s="395">
        <f>M243</f>
        <v>1000000000</v>
      </c>
      <c r="N242" s="319"/>
      <c r="O242" s="319"/>
      <c r="P242" s="319"/>
      <c r="Q242" s="576"/>
      <c r="R242" s="504"/>
      <c r="T242" s="396"/>
      <c r="U242" s="396"/>
      <c r="V242" s="396"/>
    </row>
    <row r="243" spans="2:22" s="306" customFormat="1" ht="27.75" customHeight="1" x14ac:dyDescent="0.25">
      <c r="B243" s="13"/>
      <c r="C243" s="263"/>
      <c r="D243" s="388"/>
      <c r="E243" s="156"/>
      <c r="F243" s="389" t="s">
        <v>46</v>
      </c>
      <c r="G243" s="390" t="s">
        <v>362</v>
      </c>
      <c r="H243" s="391"/>
      <c r="I243" s="392"/>
      <c r="J243" s="666">
        <v>1000000000</v>
      </c>
      <c r="K243" s="666">
        <v>1000000000</v>
      </c>
      <c r="L243" s="666">
        <v>1000000000</v>
      </c>
      <c r="M243" s="393">
        <v>1000000000</v>
      </c>
      <c r="N243" s="387"/>
      <c r="O243" s="387"/>
      <c r="P243" s="387"/>
      <c r="Q243" s="578"/>
      <c r="R243" s="506"/>
      <c r="S243" s="307"/>
      <c r="T243" s="928"/>
      <c r="U243" s="928"/>
      <c r="V243" s="928"/>
    </row>
    <row r="244" spans="2:22" s="29" customFormat="1" ht="21.75" customHeight="1" x14ac:dyDescent="0.25">
      <c r="B244" s="13"/>
      <c r="C244" s="49"/>
      <c r="D244" s="79"/>
      <c r="E244" s="109" t="s">
        <v>13</v>
      </c>
      <c r="F244" s="1519" t="s">
        <v>363</v>
      </c>
      <c r="G244" s="1520"/>
      <c r="H244" s="394" t="s">
        <v>364</v>
      </c>
      <c r="I244" s="381" t="s">
        <v>365</v>
      </c>
      <c r="J244" s="667">
        <f>SUM(J245:J246)</f>
        <v>550000000</v>
      </c>
      <c r="K244" s="667">
        <f>SUM(K245:K246)</f>
        <v>550000000</v>
      </c>
      <c r="L244" s="667">
        <f>SUM(L245:L246)</f>
        <v>550000000</v>
      </c>
      <c r="M244" s="395">
        <f>SUM(M245:M246)</f>
        <v>550000000</v>
      </c>
      <c r="N244" s="319"/>
      <c r="O244" s="319"/>
      <c r="P244" s="319"/>
      <c r="Q244" s="576"/>
      <c r="R244" s="504"/>
      <c r="S244" s="396"/>
      <c r="T244" s="396"/>
      <c r="U244" s="396"/>
      <c r="V244" s="396"/>
    </row>
    <row r="245" spans="2:22" s="306" customFormat="1" ht="15" customHeight="1" x14ac:dyDescent="0.25">
      <c r="B245" s="13"/>
      <c r="C245" s="263"/>
      <c r="D245" s="388"/>
      <c r="E245" s="156"/>
      <c r="F245" s="397" t="s">
        <v>46</v>
      </c>
      <c r="G245" s="398" t="s">
        <v>366</v>
      </c>
      <c r="H245" s="391"/>
      <c r="I245" s="392" t="s">
        <v>244</v>
      </c>
      <c r="J245" s="666">
        <v>300000000</v>
      </c>
      <c r="K245" s="666">
        <v>300000000</v>
      </c>
      <c r="L245" s="666">
        <v>300000000</v>
      </c>
      <c r="M245" s="393">
        <v>300000000</v>
      </c>
      <c r="N245" s="387"/>
      <c r="O245" s="387"/>
      <c r="P245" s="387"/>
      <c r="Q245" s="578"/>
      <c r="R245" s="506"/>
      <c r="T245" s="928"/>
      <c r="U245" s="928"/>
      <c r="V245" s="928"/>
    </row>
    <row r="246" spans="2:22" s="306" customFormat="1" ht="15" customHeight="1" x14ac:dyDescent="0.25">
      <c r="B246" s="13"/>
      <c r="C246" s="263"/>
      <c r="D246" s="388"/>
      <c r="E246" s="156"/>
      <c r="F246" s="397" t="s">
        <v>46</v>
      </c>
      <c r="G246" s="398" t="s">
        <v>367</v>
      </c>
      <c r="H246" s="391"/>
      <c r="I246" s="392" t="s">
        <v>244</v>
      </c>
      <c r="J246" s="666">
        <v>250000000</v>
      </c>
      <c r="K246" s="666">
        <v>250000000</v>
      </c>
      <c r="L246" s="666">
        <v>250000000</v>
      </c>
      <c r="M246" s="393">
        <v>250000000</v>
      </c>
      <c r="N246" s="387"/>
      <c r="O246" s="387"/>
      <c r="P246" s="387"/>
      <c r="Q246" s="578"/>
      <c r="R246" s="506"/>
      <c r="S246" s="307"/>
      <c r="T246" s="928"/>
      <c r="U246" s="928"/>
      <c r="V246" s="928"/>
    </row>
    <row r="247" spans="2:22" s="306" customFormat="1" ht="27" customHeight="1" x14ac:dyDescent="0.25">
      <c r="B247" s="13"/>
      <c r="C247" s="49"/>
      <c r="D247" s="79"/>
      <c r="E247" s="109" t="s">
        <v>16</v>
      </c>
      <c r="F247" s="1521" t="s">
        <v>368</v>
      </c>
      <c r="G247" s="1522"/>
      <c r="H247" s="354" t="s">
        <v>369</v>
      </c>
      <c r="I247" s="381">
        <v>0.2</v>
      </c>
      <c r="J247" s="667">
        <v>1000000000</v>
      </c>
      <c r="K247" s="667">
        <v>1000000000</v>
      </c>
      <c r="L247" s="667">
        <v>1000000000</v>
      </c>
      <c r="M247" s="395">
        <v>1000000000</v>
      </c>
      <c r="N247" s="319"/>
      <c r="O247" s="319"/>
      <c r="P247" s="319"/>
      <c r="Q247" s="576"/>
      <c r="R247" s="504"/>
      <c r="T247" s="928"/>
      <c r="U247" s="928"/>
      <c r="V247" s="928"/>
    </row>
    <row r="248" spans="2:22" s="306" customFormat="1" ht="22.5" customHeight="1" x14ac:dyDescent="0.25">
      <c r="B248" s="13"/>
      <c r="C248" s="399"/>
      <c r="D248" s="109"/>
      <c r="E248" s="109" t="s">
        <v>19</v>
      </c>
      <c r="F248" s="1517" t="s">
        <v>371</v>
      </c>
      <c r="G248" s="1518"/>
      <c r="H248" s="394" t="s">
        <v>372</v>
      </c>
      <c r="I248" s="381" t="s">
        <v>370</v>
      </c>
      <c r="J248" s="667">
        <v>600000000</v>
      </c>
      <c r="K248" s="667">
        <v>600000000</v>
      </c>
      <c r="L248" s="667">
        <v>600000000</v>
      </c>
      <c r="M248" s="395">
        <v>600000000</v>
      </c>
      <c r="N248" s="319"/>
      <c r="O248" s="319"/>
      <c r="P248" s="319"/>
      <c r="Q248" s="576"/>
      <c r="R248" s="504"/>
      <c r="T248" s="928"/>
      <c r="U248" s="928"/>
      <c r="V248" s="928"/>
    </row>
    <row r="249" spans="2:22" s="29" customFormat="1" ht="18.75" customHeight="1" x14ac:dyDescent="0.25">
      <c r="B249" s="13"/>
      <c r="C249" s="400"/>
      <c r="D249" s="77"/>
      <c r="E249" s="77" t="s">
        <v>27</v>
      </c>
      <c r="F249" s="1523" t="s">
        <v>373</v>
      </c>
      <c r="G249" s="1524"/>
      <c r="H249" s="401" t="s">
        <v>374</v>
      </c>
      <c r="I249" s="402" t="s">
        <v>370</v>
      </c>
      <c r="J249" s="659">
        <f>SUM(J250:J250)</f>
        <v>400000000</v>
      </c>
      <c r="K249" s="659">
        <f>SUM(K250:K250)</f>
        <v>400000000</v>
      </c>
      <c r="L249" s="659">
        <f>SUM(L250:L250)</f>
        <v>400000000</v>
      </c>
      <c r="M249" s="331">
        <f>SUM(M250:M250)</f>
        <v>400000000</v>
      </c>
      <c r="N249" s="319"/>
      <c r="O249" s="319"/>
      <c r="P249" s="319"/>
      <c r="Q249" s="579"/>
      <c r="R249" s="504"/>
      <c r="T249" s="396"/>
      <c r="U249" s="396"/>
      <c r="V249" s="396"/>
    </row>
    <row r="250" spans="2:22" s="306" customFormat="1" ht="15.75" customHeight="1" x14ac:dyDescent="0.25">
      <c r="B250" s="13"/>
      <c r="C250" s="403"/>
      <c r="D250" s="156"/>
      <c r="E250" s="156"/>
      <c r="F250" s="404" t="s">
        <v>46</v>
      </c>
      <c r="G250" s="405" t="s">
        <v>375</v>
      </c>
      <c r="H250" s="391"/>
      <c r="I250" s="392"/>
      <c r="J250" s="666">
        <v>400000000</v>
      </c>
      <c r="K250" s="666">
        <v>400000000</v>
      </c>
      <c r="L250" s="666">
        <v>400000000</v>
      </c>
      <c r="M250" s="393">
        <v>400000000</v>
      </c>
      <c r="N250" s="387"/>
      <c r="O250" s="387"/>
      <c r="P250" s="387"/>
      <c r="Q250" s="578"/>
      <c r="R250" s="506"/>
      <c r="T250" s="928"/>
      <c r="U250" s="928"/>
      <c r="V250" s="928"/>
    </row>
    <row r="251" spans="2:22" s="29" customFormat="1" ht="21" customHeight="1" x14ac:dyDescent="0.25">
      <c r="B251" s="13"/>
      <c r="C251" s="399"/>
      <c r="D251" s="109"/>
      <c r="E251" s="109" t="s">
        <v>30</v>
      </c>
      <c r="F251" s="1525" t="s">
        <v>376</v>
      </c>
      <c r="G251" s="1526"/>
      <c r="H251" s="354" t="s">
        <v>377</v>
      </c>
      <c r="I251" s="406" t="s">
        <v>370</v>
      </c>
      <c r="J251" s="668">
        <v>300000000</v>
      </c>
      <c r="K251" s="668">
        <v>300000000</v>
      </c>
      <c r="L251" s="668">
        <v>300000000</v>
      </c>
      <c r="M251" s="407">
        <v>300000000</v>
      </c>
      <c r="N251" s="319"/>
      <c r="O251" s="319"/>
      <c r="P251" s="319"/>
      <c r="Q251" s="580"/>
      <c r="R251" s="504"/>
      <c r="T251" s="396"/>
      <c r="U251" s="396"/>
      <c r="V251" s="396"/>
    </row>
    <row r="252" spans="2:22" s="29" customFormat="1" ht="21" customHeight="1" x14ac:dyDescent="0.25">
      <c r="B252" s="13"/>
      <c r="C252" s="399"/>
      <c r="D252" s="109"/>
      <c r="E252" s="109" t="s">
        <v>8</v>
      </c>
      <c r="F252" s="1510" t="s">
        <v>409</v>
      </c>
      <c r="G252" s="1511"/>
      <c r="H252" s="394" t="s">
        <v>410</v>
      </c>
      <c r="I252" s="381" t="s">
        <v>370</v>
      </c>
      <c r="J252" s="669">
        <v>400000000</v>
      </c>
      <c r="K252" s="669">
        <v>400000000</v>
      </c>
      <c r="L252" s="669">
        <v>400000000</v>
      </c>
      <c r="M252" s="408">
        <v>400000000</v>
      </c>
      <c r="N252" s="1014"/>
      <c r="O252" s="1014"/>
      <c r="P252" s="319"/>
      <c r="Q252" s="576"/>
      <c r="R252" s="504"/>
      <c r="T252" s="396"/>
      <c r="U252" s="396"/>
      <c r="V252" s="396"/>
    </row>
    <row r="253" spans="2:22" s="29" customFormat="1" ht="3.75" customHeight="1" x14ac:dyDescent="0.25">
      <c r="B253" s="13"/>
      <c r="C253" s="399"/>
      <c r="D253" s="109"/>
      <c r="E253" s="109"/>
      <c r="F253" s="409"/>
      <c r="G253" s="410"/>
      <c r="H253" s="354"/>
      <c r="I253" s="406"/>
      <c r="J253" s="670"/>
      <c r="K253" s="670"/>
      <c r="L253" s="670"/>
      <c r="M253" s="411"/>
      <c r="N253" s="1014"/>
      <c r="O253" s="1014"/>
      <c r="P253" s="319"/>
      <c r="Q253" s="580"/>
      <c r="R253" s="504"/>
      <c r="T253" s="396"/>
      <c r="U253" s="396"/>
      <c r="V253" s="396"/>
    </row>
    <row r="254" spans="2:22" s="29" customFormat="1" ht="35.25" customHeight="1" x14ac:dyDescent="0.25">
      <c r="B254" s="13"/>
      <c r="C254" s="1501" t="s">
        <v>460</v>
      </c>
      <c r="D254" s="1502"/>
      <c r="E254" s="1512" t="s">
        <v>378</v>
      </c>
      <c r="F254" s="1513"/>
      <c r="G254" s="1514"/>
      <c r="H254" s="412" t="s">
        <v>379</v>
      </c>
      <c r="I254" s="413"/>
      <c r="J254" s="649">
        <f>J255+J256+J257</f>
        <v>500000000</v>
      </c>
      <c r="K254" s="649">
        <f>K255+K256+K257</f>
        <v>500000000</v>
      </c>
      <c r="L254" s="649">
        <f>L255+L256+L257</f>
        <v>500000000</v>
      </c>
      <c r="M254" s="283">
        <f>M255+M256+M257</f>
        <v>500000000</v>
      </c>
      <c r="N254" s="1005"/>
      <c r="O254" s="1005"/>
      <c r="P254" s="104"/>
      <c r="Q254" s="581"/>
      <c r="R254" s="14"/>
      <c r="T254" s="396"/>
      <c r="U254" s="396"/>
      <c r="V254" s="396"/>
    </row>
    <row r="255" spans="2:22" s="29" customFormat="1" ht="21" customHeight="1" x14ac:dyDescent="0.25">
      <c r="B255" s="13"/>
      <c r="C255" s="399"/>
      <c r="D255" s="109"/>
      <c r="E255" s="109" t="s">
        <v>5</v>
      </c>
      <c r="F255" s="1515" t="s">
        <v>380</v>
      </c>
      <c r="G255" s="1516"/>
      <c r="H255" s="401" t="s">
        <v>381</v>
      </c>
      <c r="I255" s="402" t="s">
        <v>244</v>
      </c>
      <c r="J255" s="659">
        <v>175000000</v>
      </c>
      <c r="K255" s="659">
        <v>175000000</v>
      </c>
      <c r="L255" s="659">
        <v>175000000</v>
      </c>
      <c r="M255" s="331">
        <v>175000000</v>
      </c>
      <c r="N255" s="319"/>
      <c r="O255" s="319"/>
      <c r="P255" s="319"/>
      <c r="Q255" s="579"/>
      <c r="R255" s="504"/>
      <c r="T255" s="396"/>
      <c r="U255" s="396"/>
      <c r="V255" s="396"/>
    </row>
    <row r="256" spans="2:22" s="29" customFormat="1" ht="27.75" customHeight="1" x14ac:dyDescent="0.25">
      <c r="B256" s="13"/>
      <c r="C256" s="399"/>
      <c r="D256" s="109"/>
      <c r="E256" s="109" t="s">
        <v>10</v>
      </c>
      <c r="F256" s="1510" t="s">
        <v>382</v>
      </c>
      <c r="G256" s="1511"/>
      <c r="H256" s="394" t="s">
        <v>383</v>
      </c>
      <c r="I256" s="381" t="s">
        <v>244</v>
      </c>
      <c r="J256" s="667">
        <v>175000000</v>
      </c>
      <c r="K256" s="667">
        <v>175000000</v>
      </c>
      <c r="L256" s="667">
        <v>175000000</v>
      </c>
      <c r="M256" s="395">
        <v>175000000</v>
      </c>
      <c r="N256" s="319"/>
      <c r="O256" s="319"/>
      <c r="P256" s="319"/>
      <c r="Q256" s="576"/>
      <c r="R256" s="504"/>
      <c r="T256" s="396"/>
      <c r="U256" s="396"/>
      <c r="V256" s="396"/>
    </row>
    <row r="257" spans="2:22" s="29" customFormat="1" ht="30" customHeight="1" x14ac:dyDescent="0.25">
      <c r="B257" s="13"/>
      <c r="C257" s="399"/>
      <c r="D257" s="109"/>
      <c r="E257" s="109" t="s">
        <v>13</v>
      </c>
      <c r="F257" s="1510" t="s">
        <v>384</v>
      </c>
      <c r="G257" s="1511"/>
      <c r="H257" s="394" t="s">
        <v>385</v>
      </c>
      <c r="I257" s="381" t="s">
        <v>244</v>
      </c>
      <c r="J257" s="667">
        <v>150000000</v>
      </c>
      <c r="K257" s="667">
        <v>150000000</v>
      </c>
      <c r="L257" s="667">
        <v>150000000</v>
      </c>
      <c r="M257" s="395">
        <v>150000000</v>
      </c>
      <c r="N257" s="319"/>
      <c r="O257" s="319"/>
      <c r="P257" s="319"/>
      <c r="Q257" s="576"/>
      <c r="R257" s="504"/>
      <c r="T257" s="396"/>
      <c r="U257" s="396"/>
      <c r="V257" s="396"/>
    </row>
    <row r="258" spans="2:22" s="29" customFormat="1" ht="16.5" hidden="1" customHeight="1" x14ac:dyDescent="0.25">
      <c r="B258" s="13"/>
      <c r="C258" s="399"/>
      <c r="D258" s="109"/>
      <c r="E258" s="109"/>
      <c r="F258" s="404" t="s">
        <v>46</v>
      </c>
      <c r="G258" s="405" t="s">
        <v>386</v>
      </c>
      <c r="H258" s="391"/>
      <c r="I258" s="392"/>
      <c r="J258" s="671">
        <v>300000000</v>
      </c>
      <c r="K258" s="671">
        <v>300000000</v>
      </c>
      <c r="L258" s="671">
        <v>300000000</v>
      </c>
      <c r="M258" s="414">
        <v>300000000</v>
      </c>
      <c r="N258" s="1015"/>
      <c r="O258" s="1015"/>
      <c r="P258" s="387"/>
      <c r="Q258" s="578"/>
      <c r="R258" s="506"/>
      <c r="T258" s="396"/>
      <c r="U258" s="396"/>
      <c r="V258" s="396"/>
    </row>
    <row r="259" spans="2:22" ht="3.75" customHeight="1" x14ac:dyDescent="0.25">
      <c r="C259" s="415"/>
      <c r="D259" s="338"/>
      <c r="E259" s="338"/>
      <c r="F259" s="416"/>
      <c r="G259" s="417"/>
      <c r="H259" s="367"/>
      <c r="I259" s="418"/>
      <c r="J259" s="648"/>
      <c r="K259" s="648"/>
      <c r="L259" s="648"/>
      <c r="M259" s="281"/>
      <c r="N259" s="993"/>
      <c r="O259" s="993"/>
      <c r="P259" s="101"/>
      <c r="Q259" s="582"/>
      <c r="R259" s="491"/>
    </row>
    <row r="260" spans="2:22" s="15" customFormat="1" ht="36.75" customHeight="1" x14ac:dyDescent="0.25">
      <c r="B260" s="13"/>
      <c r="C260" s="1501" t="s">
        <v>461</v>
      </c>
      <c r="D260" s="1502"/>
      <c r="E260" s="1512" t="s">
        <v>387</v>
      </c>
      <c r="F260" s="1513"/>
      <c r="G260" s="1514"/>
      <c r="H260" s="231" t="s">
        <v>388</v>
      </c>
      <c r="I260" s="379"/>
      <c r="J260" s="649">
        <f>J261</f>
        <v>300000000</v>
      </c>
      <c r="K260" s="649">
        <f>K261</f>
        <v>300000000</v>
      </c>
      <c r="L260" s="649">
        <f>L261</f>
        <v>300000000</v>
      </c>
      <c r="M260" s="283">
        <f>M261</f>
        <v>300000000</v>
      </c>
      <c r="N260" s="1005"/>
      <c r="O260" s="1005"/>
      <c r="P260" s="104"/>
      <c r="Q260" s="575"/>
      <c r="R260" s="14"/>
      <c r="T260" s="21"/>
      <c r="U260" s="396"/>
      <c r="V260" s="21"/>
    </row>
    <row r="261" spans="2:22" s="29" customFormat="1" ht="31.5" customHeight="1" x14ac:dyDescent="0.25">
      <c r="B261" s="13"/>
      <c r="C261" s="76"/>
      <c r="D261" s="77"/>
      <c r="E261" s="77" t="s">
        <v>5</v>
      </c>
      <c r="F261" s="1503" t="s">
        <v>390</v>
      </c>
      <c r="G261" s="1504"/>
      <c r="H261" s="293" t="s">
        <v>388</v>
      </c>
      <c r="I261" s="419">
        <v>1</v>
      </c>
      <c r="J261" s="659">
        <v>300000000</v>
      </c>
      <c r="K261" s="659">
        <v>300000000</v>
      </c>
      <c r="L261" s="659">
        <v>300000000</v>
      </c>
      <c r="M261" s="331">
        <v>300000000</v>
      </c>
      <c r="N261" s="319"/>
      <c r="O261" s="319"/>
      <c r="P261" s="319"/>
      <c r="Q261" s="583"/>
      <c r="R261" s="504"/>
      <c r="T261" s="396"/>
      <c r="U261" s="396"/>
      <c r="V261" s="396"/>
    </row>
    <row r="262" spans="2:22" ht="3" customHeight="1" thickBot="1" x14ac:dyDescent="0.3">
      <c r="C262" s="420"/>
      <c r="D262" s="421"/>
      <c r="E262" s="421"/>
      <c r="F262" s="422"/>
      <c r="G262" s="423"/>
      <c r="H262" s="424"/>
      <c r="I262" s="425"/>
      <c r="J262" s="672"/>
      <c r="K262" s="672"/>
      <c r="L262" s="672"/>
      <c r="M262" s="426"/>
      <c r="N262" s="993"/>
      <c r="O262" s="993"/>
      <c r="P262" s="101"/>
      <c r="Q262" s="539"/>
      <c r="R262" s="491"/>
    </row>
    <row r="263" spans="2:22" ht="17.25" customHeight="1" thickTop="1" x14ac:dyDescent="0.25"/>
    <row r="264" spans="2:22" s="1096" customFormat="1" ht="18.75" customHeight="1" x14ac:dyDescent="0.25">
      <c r="B264" s="1087"/>
      <c r="C264" s="1088"/>
      <c r="D264" s="1089"/>
      <c r="E264" s="1089"/>
      <c r="F264" s="1089"/>
      <c r="G264" s="1090"/>
      <c r="H264" s="1091"/>
      <c r="I264" s="1092"/>
      <c r="J264" s="1415" t="s">
        <v>591</v>
      </c>
      <c r="K264" s="1097"/>
      <c r="L264" s="1097"/>
      <c r="M264" s="1097"/>
      <c r="N264" s="1093"/>
      <c r="O264" s="1093"/>
      <c r="P264" s="1094"/>
      <c r="Q264" s="1092"/>
      <c r="R264" s="1095"/>
      <c r="T264" s="1457"/>
      <c r="U264" s="1457"/>
      <c r="V264" s="1457"/>
    </row>
    <row r="265" spans="2:22" ht="16.5" customHeight="1" x14ac:dyDescent="0.25">
      <c r="J265" s="1415" t="s">
        <v>588</v>
      </c>
    </row>
    <row r="266" spans="2:22" ht="15" customHeight="1" x14ac:dyDescent="0.25">
      <c r="J266" s="1415" t="s">
        <v>589</v>
      </c>
    </row>
    <row r="267" spans="2:22" ht="15.75" customHeight="1" x14ac:dyDescent="0.25">
      <c r="J267" s="1416"/>
    </row>
    <row r="268" spans="2:22" ht="15.75" customHeight="1" x14ac:dyDescent="0.25">
      <c r="J268" s="1416"/>
    </row>
    <row r="269" spans="2:22" ht="14.25" customHeight="1" x14ac:dyDescent="0.25">
      <c r="J269" s="1416"/>
    </row>
    <row r="270" spans="2:22" ht="15.75" customHeight="1" x14ac:dyDescent="0.25">
      <c r="J270" s="1416"/>
    </row>
    <row r="271" spans="2:22" ht="15" customHeight="1" x14ac:dyDescent="0.25">
      <c r="J271" s="1417" t="s">
        <v>590</v>
      </c>
    </row>
    <row r="272" spans="2:22" ht="13.5" customHeight="1" x14ac:dyDescent="0.25">
      <c r="J272" s="1415" t="s">
        <v>592</v>
      </c>
    </row>
    <row r="273" spans="10:10" ht="13.5" customHeight="1" x14ac:dyDescent="0.25">
      <c r="J273" s="1415" t="s">
        <v>517</v>
      </c>
    </row>
  </sheetData>
  <mergeCells count="168">
    <mergeCell ref="Q8:Q9"/>
    <mergeCell ref="C10:E10"/>
    <mergeCell ref="F10:G10"/>
    <mergeCell ref="C2:M2"/>
    <mergeCell ref="C3:P3"/>
    <mergeCell ref="C4:P4"/>
    <mergeCell ref="C6:D6"/>
    <mergeCell ref="E6:G6"/>
    <mergeCell ref="C8:E9"/>
    <mergeCell ref="F8:G9"/>
    <mergeCell ref="H8:H9"/>
    <mergeCell ref="I8:I9"/>
    <mergeCell ref="J8:J9"/>
    <mergeCell ref="D11:G11"/>
    <mergeCell ref="D12:I12"/>
    <mergeCell ref="D13:G13"/>
    <mergeCell ref="E14:G14"/>
    <mergeCell ref="E15:G15"/>
    <mergeCell ref="E16:G16"/>
    <mergeCell ref="K8:K9"/>
    <mergeCell ref="L8:L9"/>
    <mergeCell ref="M8:M9"/>
    <mergeCell ref="F23:G23"/>
    <mergeCell ref="D24:G24"/>
    <mergeCell ref="E25:G25"/>
    <mergeCell ref="E26:G26"/>
    <mergeCell ref="E27:G27"/>
    <mergeCell ref="E28:G28"/>
    <mergeCell ref="E17:G17"/>
    <mergeCell ref="E18:G18"/>
    <mergeCell ref="E19:G19"/>
    <mergeCell ref="E20:G20"/>
    <mergeCell ref="E21:G21"/>
    <mergeCell ref="E22:G22"/>
    <mergeCell ref="F35:G35"/>
    <mergeCell ref="E36:G36"/>
    <mergeCell ref="E37:G37"/>
    <mergeCell ref="E38:G38"/>
    <mergeCell ref="F39:G39"/>
    <mergeCell ref="D40:G40"/>
    <mergeCell ref="E29:G29"/>
    <mergeCell ref="F30:G30"/>
    <mergeCell ref="F31:G31"/>
    <mergeCell ref="F32:G32"/>
    <mergeCell ref="E33:G33"/>
    <mergeCell ref="F34:G34"/>
    <mergeCell ref="E47:G47"/>
    <mergeCell ref="E48:G48"/>
    <mergeCell ref="E49:G49"/>
    <mergeCell ref="E50:G50"/>
    <mergeCell ref="D52:I52"/>
    <mergeCell ref="C53:D53"/>
    <mergeCell ref="E53:G53"/>
    <mergeCell ref="E41:G41"/>
    <mergeCell ref="E42:G42"/>
    <mergeCell ref="D43:G43"/>
    <mergeCell ref="E44:G44"/>
    <mergeCell ref="E45:G45"/>
    <mergeCell ref="D46:G46"/>
    <mergeCell ref="F67:G67"/>
    <mergeCell ref="F68:G68"/>
    <mergeCell ref="F69:G69"/>
    <mergeCell ref="F76:G76"/>
    <mergeCell ref="F90:G90"/>
    <mergeCell ref="F91:G91"/>
    <mergeCell ref="F54:G54"/>
    <mergeCell ref="F55:G55"/>
    <mergeCell ref="F59:G59"/>
    <mergeCell ref="F62:G62"/>
    <mergeCell ref="F63:G63"/>
    <mergeCell ref="F66:G66"/>
    <mergeCell ref="F126:G126"/>
    <mergeCell ref="F128:G128"/>
    <mergeCell ref="F130:G130"/>
    <mergeCell ref="F132:G132"/>
    <mergeCell ref="F137:G137"/>
    <mergeCell ref="C143:D143"/>
    <mergeCell ref="E143:G143"/>
    <mergeCell ref="F93:G93"/>
    <mergeCell ref="F97:G97"/>
    <mergeCell ref="F102:G102"/>
    <mergeCell ref="F112:G112"/>
    <mergeCell ref="F115:G115"/>
    <mergeCell ref="F120:G120"/>
    <mergeCell ref="F153:G153"/>
    <mergeCell ref="F154:G154"/>
    <mergeCell ref="F155:G155"/>
    <mergeCell ref="F156:G156"/>
    <mergeCell ref="F157:G157"/>
    <mergeCell ref="F161:G161"/>
    <mergeCell ref="F144:G144"/>
    <mergeCell ref="F145:G145"/>
    <mergeCell ref="F146:G146"/>
    <mergeCell ref="F147:G147"/>
    <mergeCell ref="F151:G151"/>
    <mergeCell ref="F152:G152"/>
    <mergeCell ref="F168:G168"/>
    <mergeCell ref="C169:D169"/>
    <mergeCell ref="E169:G169"/>
    <mergeCell ref="F170:G170"/>
    <mergeCell ref="F171:G171"/>
    <mergeCell ref="F172:G172"/>
    <mergeCell ref="F162:G162"/>
    <mergeCell ref="F163:G163"/>
    <mergeCell ref="F164:G164"/>
    <mergeCell ref="F165:G165"/>
    <mergeCell ref="F166:G166"/>
    <mergeCell ref="F167:G167"/>
    <mergeCell ref="F180:G180"/>
    <mergeCell ref="C182:D182"/>
    <mergeCell ref="E182:G182"/>
    <mergeCell ref="F183:G183"/>
    <mergeCell ref="F187:G187"/>
    <mergeCell ref="F190:G190"/>
    <mergeCell ref="F173:G173"/>
    <mergeCell ref="C174:D174"/>
    <mergeCell ref="E174:G174"/>
    <mergeCell ref="F175:G175"/>
    <mergeCell ref="F176:G176"/>
    <mergeCell ref="F178:G178"/>
    <mergeCell ref="F213:G213"/>
    <mergeCell ref="F214:G214"/>
    <mergeCell ref="F217:G217"/>
    <mergeCell ref="F218:G218"/>
    <mergeCell ref="F219:G219"/>
    <mergeCell ref="F220:G220"/>
    <mergeCell ref="F193:G193"/>
    <mergeCell ref="F196:G196"/>
    <mergeCell ref="F200:G200"/>
    <mergeCell ref="F203:G203"/>
    <mergeCell ref="F206:G206"/>
    <mergeCell ref="F210:G210"/>
    <mergeCell ref="C227:D227"/>
    <mergeCell ref="E227:G227"/>
    <mergeCell ref="F228:G228"/>
    <mergeCell ref="F229:G229"/>
    <mergeCell ref="C231:D231"/>
    <mergeCell ref="E231:G231"/>
    <mergeCell ref="F221:G221"/>
    <mergeCell ref="F222:G222"/>
    <mergeCell ref="C223:D223"/>
    <mergeCell ref="E223:G223"/>
    <mergeCell ref="F224:G224"/>
    <mergeCell ref="F225:G225"/>
    <mergeCell ref="C238:D238"/>
    <mergeCell ref="E238:G238"/>
    <mergeCell ref="F239:G239"/>
    <mergeCell ref="F242:G242"/>
    <mergeCell ref="F244:G244"/>
    <mergeCell ref="F247:G247"/>
    <mergeCell ref="F232:G232"/>
    <mergeCell ref="F233:G233"/>
    <mergeCell ref="F234:G234"/>
    <mergeCell ref="F235:G235"/>
    <mergeCell ref="F236:G236"/>
    <mergeCell ref="F237:G237"/>
    <mergeCell ref="F255:G255"/>
    <mergeCell ref="F256:G256"/>
    <mergeCell ref="F257:G257"/>
    <mergeCell ref="C260:D260"/>
    <mergeCell ref="E260:G260"/>
    <mergeCell ref="F261:G261"/>
    <mergeCell ref="F248:G248"/>
    <mergeCell ref="F249:G249"/>
    <mergeCell ref="F251:G251"/>
    <mergeCell ref="F252:G252"/>
    <mergeCell ref="C254:D254"/>
    <mergeCell ref="E254:G254"/>
  </mergeCells>
  <printOptions horizontalCentered="1"/>
  <pageMargins left="0.43307086614173229" right="0.43307086614173229" top="0.59055118110236227" bottom="0.39370078740157483" header="0" footer="0"/>
  <pageSetup paperSize="200" scale="90" fitToHeight="0" orientation="landscape" useFirstPageNumber="1" r:id="rId1"/>
  <headerFooter>
    <oddFooter>&amp;L&amp;"Cambria,Italic"&amp;7&amp;K05-049&amp;F / &amp;A&amp;C&amp;"Cambria,Italic"&amp;7&amp;K04-021Hal &amp;P dari &amp;N&amp;R&amp;"-,Italic"&amp;7&amp;K09-022&amp;D / &amp;T</oddFooter>
  </headerFooter>
  <rowBreaks count="3" manualBreakCount="3">
    <brk id="62" min="2" max="12" man="1"/>
    <brk id="181" min="2" max="12" man="1"/>
    <brk id="263" min="2" max="1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B2:V273"/>
  <sheetViews>
    <sheetView view="pageBreakPreview" topLeftCell="B40" zoomScale="80" zoomScaleNormal="85" zoomScaleSheetLayoutView="80" workbookViewId="0">
      <selection activeCell="H21" sqref="H21"/>
    </sheetView>
  </sheetViews>
  <sheetFormatPr defaultRowHeight="12.75" x14ac:dyDescent="0.25"/>
  <cols>
    <col min="1" max="1" width="9" style="53" customWidth="1"/>
    <col min="2" max="2" width="0.5703125" style="13" customWidth="1"/>
    <col min="3" max="3" width="3.28515625" style="427" customWidth="1"/>
    <col min="4" max="4" width="4.140625" style="428" customWidth="1"/>
    <col min="5" max="5" width="3.5703125" style="428" customWidth="1"/>
    <col min="6" max="6" width="2.7109375" style="428" customWidth="1"/>
    <col min="7" max="7" width="56.7109375" style="429" customWidth="1"/>
    <col min="8" max="8" width="52" style="430" customWidth="1"/>
    <col min="9" max="9" width="9.85546875" style="431" customWidth="1"/>
    <col min="10" max="12" width="16.85546875" style="432" hidden="1" customWidth="1"/>
    <col min="13" max="13" width="17.42578125" style="432" customWidth="1"/>
    <col min="14" max="14" width="20.140625" style="432" hidden="1" customWidth="1"/>
    <col min="15" max="15" width="22.140625" style="432" hidden="1" customWidth="1"/>
    <col min="16" max="16" width="0.5703125" style="291" customWidth="1"/>
    <col min="17" max="17" width="17.5703125" style="431" customWidth="1"/>
    <col min="18" max="18" width="4.85546875" style="500" customWidth="1"/>
    <col min="19" max="19" width="14.140625" style="53" customWidth="1"/>
    <col min="20" max="20" width="19.85546875" style="924" customWidth="1"/>
    <col min="21" max="21" width="21.28515625" style="924" customWidth="1"/>
    <col min="22" max="22" width="15.28515625" style="924" customWidth="1"/>
    <col min="23" max="30" width="10.5703125" style="53" customWidth="1"/>
    <col min="31" max="236" width="9.140625" style="53"/>
    <col min="237" max="237" width="1.7109375" style="53" customWidth="1"/>
    <col min="238" max="239" width="4.7109375" style="53" customWidth="1"/>
    <col min="240" max="240" width="54.140625" style="53" customWidth="1"/>
    <col min="241" max="241" width="52" style="53" customWidth="1"/>
    <col min="242" max="242" width="5.28515625" style="53" customWidth="1"/>
    <col min="243" max="243" width="5.85546875" style="53" bestFit="1" customWidth="1"/>
    <col min="244" max="244" width="16.42578125" style="53" customWidth="1"/>
    <col min="245" max="245" width="4.5703125" style="53" customWidth="1"/>
    <col min="246" max="246" width="14.140625" style="53" customWidth="1"/>
    <col min="247" max="247" width="27.140625" style="53" customWidth="1"/>
    <col min="248" max="248" width="16.28515625" style="53" customWidth="1"/>
    <col min="249" max="249" width="13.85546875" style="53" customWidth="1"/>
    <col min="250" max="492" width="9.140625" style="53"/>
    <col min="493" max="493" width="1.7109375" style="53" customWidth="1"/>
    <col min="494" max="495" width="4.7109375" style="53" customWidth="1"/>
    <col min="496" max="496" width="54.140625" style="53" customWidth="1"/>
    <col min="497" max="497" width="52" style="53" customWidth="1"/>
    <col min="498" max="498" width="5.28515625" style="53" customWidth="1"/>
    <col min="499" max="499" width="5.85546875" style="53" bestFit="1" customWidth="1"/>
    <col min="500" max="500" width="16.42578125" style="53" customWidth="1"/>
    <col min="501" max="501" width="4.5703125" style="53" customWidth="1"/>
    <col min="502" max="502" width="14.140625" style="53" customWidth="1"/>
    <col min="503" max="503" width="27.140625" style="53" customWidth="1"/>
    <col min="504" max="504" width="16.28515625" style="53" customWidth="1"/>
    <col min="505" max="505" width="13.85546875" style="53" customWidth="1"/>
    <col min="506" max="748" width="9.140625" style="53"/>
    <col min="749" max="749" width="1.7109375" style="53" customWidth="1"/>
    <col min="750" max="751" width="4.7109375" style="53" customWidth="1"/>
    <col min="752" max="752" width="54.140625" style="53" customWidth="1"/>
    <col min="753" max="753" width="52" style="53" customWidth="1"/>
    <col min="754" max="754" width="5.28515625" style="53" customWidth="1"/>
    <col min="755" max="755" width="5.85546875" style="53" bestFit="1" customWidth="1"/>
    <col min="756" max="756" width="16.42578125" style="53" customWidth="1"/>
    <col min="757" max="757" width="4.5703125" style="53" customWidth="1"/>
    <col min="758" max="758" width="14.140625" style="53" customWidth="1"/>
    <col min="759" max="759" width="27.140625" style="53" customWidth="1"/>
    <col min="760" max="760" width="16.28515625" style="53" customWidth="1"/>
    <col min="761" max="761" width="13.85546875" style="53" customWidth="1"/>
    <col min="762" max="1004" width="9.140625" style="53"/>
    <col min="1005" max="1005" width="1.7109375" style="53" customWidth="1"/>
    <col min="1006" max="1007" width="4.7109375" style="53" customWidth="1"/>
    <col min="1008" max="1008" width="54.140625" style="53" customWidth="1"/>
    <col min="1009" max="1009" width="52" style="53" customWidth="1"/>
    <col min="1010" max="1010" width="5.28515625" style="53" customWidth="1"/>
    <col min="1011" max="1011" width="5.85546875" style="53" bestFit="1" customWidth="1"/>
    <col min="1012" max="1012" width="16.42578125" style="53" customWidth="1"/>
    <col min="1013" max="1013" width="4.5703125" style="53" customWidth="1"/>
    <col min="1014" max="1014" width="14.140625" style="53" customWidth="1"/>
    <col min="1015" max="1015" width="27.140625" style="53" customWidth="1"/>
    <col min="1016" max="1016" width="16.28515625" style="53" customWidth="1"/>
    <col min="1017" max="1017" width="13.85546875" style="53" customWidth="1"/>
    <col min="1018" max="1260" width="9.140625" style="53"/>
    <col min="1261" max="1261" width="1.7109375" style="53" customWidth="1"/>
    <col min="1262" max="1263" width="4.7109375" style="53" customWidth="1"/>
    <col min="1264" max="1264" width="54.140625" style="53" customWidth="1"/>
    <col min="1265" max="1265" width="52" style="53" customWidth="1"/>
    <col min="1266" max="1266" width="5.28515625" style="53" customWidth="1"/>
    <col min="1267" max="1267" width="5.85546875" style="53" bestFit="1" customWidth="1"/>
    <col min="1268" max="1268" width="16.42578125" style="53" customWidth="1"/>
    <col min="1269" max="1269" width="4.5703125" style="53" customWidth="1"/>
    <col min="1270" max="1270" width="14.140625" style="53" customWidth="1"/>
    <col min="1271" max="1271" width="27.140625" style="53" customWidth="1"/>
    <col min="1272" max="1272" width="16.28515625" style="53" customWidth="1"/>
    <col min="1273" max="1273" width="13.85546875" style="53" customWidth="1"/>
    <col min="1274" max="1516" width="9.140625" style="53"/>
    <col min="1517" max="1517" width="1.7109375" style="53" customWidth="1"/>
    <col min="1518" max="1519" width="4.7109375" style="53" customWidth="1"/>
    <col min="1520" max="1520" width="54.140625" style="53" customWidth="1"/>
    <col min="1521" max="1521" width="52" style="53" customWidth="1"/>
    <col min="1522" max="1522" width="5.28515625" style="53" customWidth="1"/>
    <col min="1523" max="1523" width="5.85546875" style="53" bestFit="1" customWidth="1"/>
    <col min="1524" max="1524" width="16.42578125" style="53" customWidth="1"/>
    <col min="1525" max="1525" width="4.5703125" style="53" customWidth="1"/>
    <col min="1526" max="1526" width="14.140625" style="53" customWidth="1"/>
    <col min="1527" max="1527" width="27.140625" style="53" customWidth="1"/>
    <col min="1528" max="1528" width="16.28515625" style="53" customWidth="1"/>
    <col min="1529" max="1529" width="13.85546875" style="53" customWidth="1"/>
    <col min="1530" max="1772" width="9.140625" style="53"/>
    <col min="1773" max="1773" width="1.7109375" style="53" customWidth="1"/>
    <col min="1774" max="1775" width="4.7109375" style="53" customWidth="1"/>
    <col min="1776" max="1776" width="54.140625" style="53" customWidth="1"/>
    <col min="1777" max="1777" width="52" style="53" customWidth="1"/>
    <col min="1778" max="1778" width="5.28515625" style="53" customWidth="1"/>
    <col min="1779" max="1779" width="5.85546875" style="53" bestFit="1" customWidth="1"/>
    <col min="1780" max="1780" width="16.42578125" style="53" customWidth="1"/>
    <col min="1781" max="1781" width="4.5703125" style="53" customWidth="1"/>
    <col min="1782" max="1782" width="14.140625" style="53" customWidth="1"/>
    <col min="1783" max="1783" width="27.140625" style="53" customWidth="1"/>
    <col min="1784" max="1784" width="16.28515625" style="53" customWidth="1"/>
    <col min="1785" max="1785" width="13.85546875" style="53" customWidth="1"/>
    <col min="1786" max="2028" width="9.140625" style="53"/>
    <col min="2029" max="2029" width="1.7109375" style="53" customWidth="1"/>
    <col min="2030" max="2031" width="4.7109375" style="53" customWidth="1"/>
    <col min="2032" max="2032" width="54.140625" style="53" customWidth="1"/>
    <col min="2033" max="2033" width="52" style="53" customWidth="1"/>
    <col min="2034" max="2034" width="5.28515625" style="53" customWidth="1"/>
    <col min="2035" max="2035" width="5.85546875" style="53" bestFit="1" customWidth="1"/>
    <col min="2036" max="2036" width="16.42578125" style="53" customWidth="1"/>
    <col min="2037" max="2037" width="4.5703125" style="53" customWidth="1"/>
    <col min="2038" max="2038" width="14.140625" style="53" customWidth="1"/>
    <col min="2039" max="2039" width="27.140625" style="53" customWidth="1"/>
    <col min="2040" max="2040" width="16.28515625" style="53" customWidth="1"/>
    <col min="2041" max="2041" width="13.85546875" style="53" customWidth="1"/>
    <col min="2042" max="2284" width="9.140625" style="53"/>
    <col min="2285" max="2285" width="1.7109375" style="53" customWidth="1"/>
    <col min="2286" max="2287" width="4.7109375" style="53" customWidth="1"/>
    <col min="2288" max="2288" width="54.140625" style="53" customWidth="1"/>
    <col min="2289" max="2289" width="52" style="53" customWidth="1"/>
    <col min="2290" max="2290" width="5.28515625" style="53" customWidth="1"/>
    <col min="2291" max="2291" width="5.85546875" style="53" bestFit="1" customWidth="1"/>
    <col min="2292" max="2292" width="16.42578125" style="53" customWidth="1"/>
    <col min="2293" max="2293" width="4.5703125" style="53" customWidth="1"/>
    <col min="2294" max="2294" width="14.140625" style="53" customWidth="1"/>
    <col min="2295" max="2295" width="27.140625" style="53" customWidth="1"/>
    <col min="2296" max="2296" width="16.28515625" style="53" customWidth="1"/>
    <col min="2297" max="2297" width="13.85546875" style="53" customWidth="1"/>
    <col min="2298" max="2540" width="9.140625" style="53"/>
    <col min="2541" max="2541" width="1.7109375" style="53" customWidth="1"/>
    <col min="2542" max="2543" width="4.7109375" style="53" customWidth="1"/>
    <col min="2544" max="2544" width="54.140625" style="53" customWidth="1"/>
    <col min="2545" max="2545" width="52" style="53" customWidth="1"/>
    <col min="2546" max="2546" width="5.28515625" style="53" customWidth="1"/>
    <col min="2547" max="2547" width="5.85546875" style="53" bestFit="1" customWidth="1"/>
    <col min="2548" max="2548" width="16.42578125" style="53" customWidth="1"/>
    <col min="2549" max="2549" width="4.5703125" style="53" customWidth="1"/>
    <col min="2550" max="2550" width="14.140625" style="53" customWidth="1"/>
    <col min="2551" max="2551" width="27.140625" style="53" customWidth="1"/>
    <col min="2552" max="2552" width="16.28515625" style="53" customWidth="1"/>
    <col min="2553" max="2553" width="13.85546875" style="53" customWidth="1"/>
    <col min="2554" max="2796" width="9.140625" style="53"/>
    <col min="2797" max="2797" width="1.7109375" style="53" customWidth="1"/>
    <col min="2798" max="2799" width="4.7109375" style="53" customWidth="1"/>
    <col min="2800" max="2800" width="54.140625" style="53" customWidth="1"/>
    <col min="2801" max="2801" width="52" style="53" customWidth="1"/>
    <col min="2802" max="2802" width="5.28515625" style="53" customWidth="1"/>
    <col min="2803" max="2803" width="5.85546875" style="53" bestFit="1" customWidth="1"/>
    <col min="2804" max="2804" width="16.42578125" style="53" customWidth="1"/>
    <col min="2805" max="2805" width="4.5703125" style="53" customWidth="1"/>
    <col min="2806" max="2806" width="14.140625" style="53" customWidth="1"/>
    <col min="2807" max="2807" width="27.140625" style="53" customWidth="1"/>
    <col min="2808" max="2808" width="16.28515625" style="53" customWidth="1"/>
    <col min="2809" max="2809" width="13.85546875" style="53" customWidth="1"/>
    <col min="2810" max="3052" width="9.140625" style="53"/>
    <col min="3053" max="3053" width="1.7109375" style="53" customWidth="1"/>
    <col min="3054" max="3055" width="4.7109375" style="53" customWidth="1"/>
    <col min="3056" max="3056" width="54.140625" style="53" customWidth="1"/>
    <col min="3057" max="3057" width="52" style="53" customWidth="1"/>
    <col min="3058" max="3058" width="5.28515625" style="53" customWidth="1"/>
    <col min="3059" max="3059" width="5.85546875" style="53" bestFit="1" customWidth="1"/>
    <col min="3060" max="3060" width="16.42578125" style="53" customWidth="1"/>
    <col min="3061" max="3061" width="4.5703125" style="53" customWidth="1"/>
    <col min="3062" max="3062" width="14.140625" style="53" customWidth="1"/>
    <col min="3063" max="3063" width="27.140625" style="53" customWidth="1"/>
    <col min="3064" max="3064" width="16.28515625" style="53" customWidth="1"/>
    <col min="3065" max="3065" width="13.85546875" style="53" customWidth="1"/>
    <col min="3066" max="3308" width="9.140625" style="53"/>
    <col min="3309" max="3309" width="1.7109375" style="53" customWidth="1"/>
    <col min="3310" max="3311" width="4.7109375" style="53" customWidth="1"/>
    <col min="3312" max="3312" width="54.140625" style="53" customWidth="1"/>
    <col min="3313" max="3313" width="52" style="53" customWidth="1"/>
    <col min="3314" max="3314" width="5.28515625" style="53" customWidth="1"/>
    <col min="3315" max="3315" width="5.85546875" style="53" bestFit="1" customWidth="1"/>
    <col min="3316" max="3316" width="16.42578125" style="53" customWidth="1"/>
    <col min="3317" max="3317" width="4.5703125" style="53" customWidth="1"/>
    <col min="3318" max="3318" width="14.140625" style="53" customWidth="1"/>
    <col min="3319" max="3319" width="27.140625" style="53" customWidth="1"/>
    <col min="3320" max="3320" width="16.28515625" style="53" customWidth="1"/>
    <col min="3321" max="3321" width="13.85546875" style="53" customWidth="1"/>
    <col min="3322" max="3564" width="9.140625" style="53"/>
    <col min="3565" max="3565" width="1.7109375" style="53" customWidth="1"/>
    <col min="3566" max="3567" width="4.7109375" style="53" customWidth="1"/>
    <col min="3568" max="3568" width="54.140625" style="53" customWidth="1"/>
    <col min="3569" max="3569" width="52" style="53" customWidth="1"/>
    <col min="3570" max="3570" width="5.28515625" style="53" customWidth="1"/>
    <col min="3571" max="3571" width="5.85546875" style="53" bestFit="1" customWidth="1"/>
    <col min="3572" max="3572" width="16.42578125" style="53" customWidth="1"/>
    <col min="3573" max="3573" width="4.5703125" style="53" customWidth="1"/>
    <col min="3574" max="3574" width="14.140625" style="53" customWidth="1"/>
    <col min="3575" max="3575" width="27.140625" style="53" customWidth="1"/>
    <col min="3576" max="3576" width="16.28515625" style="53" customWidth="1"/>
    <col min="3577" max="3577" width="13.85546875" style="53" customWidth="1"/>
    <col min="3578" max="3820" width="9.140625" style="53"/>
    <col min="3821" max="3821" width="1.7109375" style="53" customWidth="1"/>
    <col min="3822" max="3823" width="4.7109375" style="53" customWidth="1"/>
    <col min="3824" max="3824" width="54.140625" style="53" customWidth="1"/>
    <col min="3825" max="3825" width="52" style="53" customWidth="1"/>
    <col min="3826" max="3826" width="5.28515625" style="53" customWidth="1"/>
    <col min="3827" max="3827" width="5.85546875" style="53" bestFit="1" customWidth="1"/>
    <col min="3828" max="3828" width="16.42578125" style="53" customWidth="1"/>
    <col min="3829" max="3829" width="4.5703125" style="53" customWidth="1"/>
    <col min="3830" max="3830" width="14.140625" style="53" customWidth="1"/>
    <col min="3831" max="3831" width="27.140625" style="53" customWidth="1"/>
    <col min="3832" max="3832" width="16.28515625" style="53" customWidth="1"/>
    <col min="3833" max="3833" width="13.85546875" style="53" customWidth="1"/>
    <col min="3834" max="4076" width="9.140625" style="53"/>
    <col min="4077" max="4077" width="1.7109375" style="53" customWidth="1"/>
    <col min="4078" max="4079" width="4.7109375" style="53" customWidth="1"/>
    <col min="4080" max="4080" width="54.140625" style="53" customWidth="1"/>
    <col min="4081" max="4081" width="52" style="53" customWidth="1"/>
    <col min="4082" max="4082" width="5.28515625" style="53" customWidth="1"/>
    <col min="4083" max="4083" width="5.85546875" style="53" bestFit="1" customWidth="1"/>
    <col min="4084" max="4084" width="16.42578125" style="53" customWidth="1"/>
    <col min="4085" max="4085" width="4.5703125" style="53" customWidth="1"/>
    <col min="4086" max="4086" width="14.140625" style="53" customWidth="1"/>
    <col min="4087" max="4087" width="27.140625" style="53" customWidth="1"/>
    <col min="4088" max="4088" width="16.28515625" style="53" customWidth="1"/>
    <col min="4089" max="4089" width="13.85546875" style="53" customWidth="1"/>
    <col min="4090" max="4332" width="9.140625" style="53"/>
    <col min="4333" max="4333" width="1.7109375" style="53" customWidth="1"/>
    <col min="4334" max="4335" width="4.7109375" style="53" customWidth="1"/>
    <col min="4336" max="4336" width="54.140625" style="53" customWidth="1"/>
    <col min="4337" max="4337" width="52" style="53" customWidth="1"/>
    <col min="4338" max="4338" width="5.28515625" style="53" customWidth="1"/>
    <col min="4339" max="4339" width="5.85546875" style="53" bestFit="1" customWidth="1"/>
    <col min="4340" max="4340" width="16.42578125" style="53" customWidth="1"/>
    <col min="4341" max="4341" width="4.5703125" style="53" customWidth="1"/>
    <col min="4342" max="4342" width="14.140625" style="53" customWidth="1"/>
    <col min="4343" max="4343" width="27.140625" style="53" customWidth="1"/>
    <col min="4344" max="4344" width="16.28515625" style="53" customWidth="1"/>
    <col min="4345" max="4345" width="13.85546875" style="53" customWidth="1"/>
    <col min="4346" max="4588" width="9.140625" style="53"/>
    <col min="4589" max="4589" width="1.7109375" style="53" customWidth="1"/>
    <col min="4590" max="4591" width="4.7109375" style="53" customWidth="1"/>
    <col min="4592" max="4592" width="54.140625" style="53" customWidth="1"/>
    <col min="4593" max="4593" width="52" style="53" customWidth="1"/>
    <col min="4594" max="4594" width="5.28515625" style="53" customWidth="1"/>
    <col min="4595" max="4595" width="5.85546875" style="53" bestFit="1" customWidth="1"/>
    <col min="4596" max="4596" width="16.42578125" style="53" customWidth="1"/>
    <col min="4597" max="4597" width="4.5703125" style="53" customWidth="1"/>
    <col min="4598" max="4598" width="14.140625" style="53" customWidth="1"/>
    <col min="4599" max="4599" width="27.140625" style="53" customWidth="1"/>
    <col min="4600" max="4600" width="16.28515625" style="53" customWidth="1"/>
    <col min="4601" max="4601" width="13.85546875" style="53" customWidth="1"/>
    <col min="4602" max="4844" width="9.140625" style="53"/>
    <col min="4845" max="4845" width="1.7109375" style="53" customWidth="1"/>
    <col min="4846" max="4847" width="4.7109375" style="53" customWidth="1"/>
    <col min="4848" max="4848" width="54.140625" style="53" customWidth="1"/>
    <col min="4849" max="4849" width="52" style="53" customWidth="1"/>
    <col min="4850" max="4850" width="5.28515625" style="53" customWidth="1"/>
    <col min="4851" max="4851" width="5.85546875" style="53" bestFit="1" customWidth="1"/>
    <col min="4852" max="4852" width="16.42578125" style="53" customWidth="1"/>
    <col min="4853" max="4853" width="4.5703125" style="53" customWidth="1"/>
    <col min="4854" max="4854" width="14.140625" style="53" customWidth="1"/>
    <col min="4855" max="4855" width="27.140625" style="53" customWidth="1"/>
    <col min="4856" max="4856" width="16.28515625" style="53" customWidth="1"/>
    <col min="4857" max="4857" width="13.85546875" style="53" customWidth="1"/>
    <col min="4858" max="5100" width="9.140625" style="53"/>
    <col min="5101" max="5101" width="1.7109375" style="53" customWidth="1"/>
    <col min="5102" max="5103" width="4.7109375" style="53" customWidth="1"/>
    <col min="5104" max="5104" width="54.140625" style="53" customWidth="1"/>
    <col min="5105" max="5105" width="52" style="53" customWidth="1"/>
    <col min="5106" max="5106" width="5.28515625" style="53" customWidth="1"/>
    <col min="5107" max="5107" width="5.85546875" style="53" bestFit="1" customWidth="1"/>
    <col min="5108" max="5108" width="16.42578125" style="53" customWidth="1"/>
    <col min="5109" max="5109" width="4.5703125" style="53" customWidth="1"/>
    <col min="5110" max="5110" width="14.140625" style="53" customWidth="1"/>
    <col min="5111" max="5111" width="27.140625" style="53" customWidth="1"/>
    <col min="5112" max="5112" width="16.28515625" style="53" customWidth="1"/>
    <col min="5113" max="5113" width="13.85546875" style="53" customWidth="1"/>
    <col min="5114" max="5356" width="9.140625" style="53"/>
    <col min="5357" max="5357" width="1.7109375" style="53" customWidth="1"/>
    <col min="5358" max="5359" width="4.7109375" style="53" customWidth="1"/>
    <col min="5360" max="5360" width="54.140625" style="53" customWidth="1"/>
    <col min="5361" max="5361" width="52" style="53" customWidth="1"/>
    <col min="5362" max="5362" width="5.28515625" style="53" customWidth="1"/>
    <col min="5363" max="5363" width="5.85546875" style="53" bestFit="1" customWidth="1"/>
    <col min="5364" max="5364" width="16.42578125" style="53" customWidth="1"/>
    <col min="5365" max="5365" width="4.5703125" style="53" customWidth="1"/>
    <col min="5366" max="5366" width="14.140625" style="53" customWidth="1"/>
    <col min="5367" max="5367" width="27.140625" style="53" customWidth="1"/>
    <col min="5368" max="5368" width="16.28515625" style="53" customWidth="1"/>
    <col min="5369" max="5369" width="13.85546875" style="53" customWidth="1"/>
    <col min="5370" max="5612" width="9.140625" style="53"/>
    <col min="5613" max="5613" width="1.7109375" style="53" customWidth="1"/>
    <col min="5614" max="5615" width="4.7109375" style="53" customWidth="1"/>
    <col min="5616" max="5616" width="54.140625" style="53" customWidth="1"/>
    <col min="5617" max="5617" width="52" style="53" customWidth="1"/>
    <col min="5618" max="5618" width="5.28515625" style="53" customWidth="1"/>
    <col min="5619" max="5619" width="5.85546875" style="53" bestFit="1" customWidth="1"/>
    <col min="5620" max="5620" width="16.42578125" style="53" customWidth="1"/>
    <col min="5621" max="5621" width="4.5703125" style="53" customWidth="1"/>
    <col min="5622" max="5622" width="14.140625" style="53" customWidth="1"/>
    <col min="5623" max="5623" width="27.140625" style="53" customWidth="1"/>
    <col min="5624" max="5624" width="16.28515625" style="53" customWidth="1"/>
    <col min="5625" max="5625" width="13.85546875" style="53" customWidth="1"/>
    <col min="5626" max="5868" width="9.140625" style="53"/>
    <col min="5869" max="5869" width="1.7109375" style="53" customWidth="1"/>
    <col min="5870" max="5871" width="4.7109375" style="53" customWidth="1"/>
    <col min="5872" max="5872" width="54.140625" style="53" customWidth="1"/>
    <col min="5873" max="5873" width="52" style="53" customWidth="1"/>
    <col min="5874" max="5874" width="5.28515625" style="53" customWidth="1"/>
    <col min="5875" max="5875" width="5.85546875" style="53" bestFit="1" customWidth="1"/>
    <col min="5876" max="5876" width="16.42578125" style="53" customWidth="1"/>
    <col min="5877" max="5877" width="4.5703125" style="53" customWidth="1"/>
    <col min="5878" max="5878" width="14.140625" style="53" customWidth="1"/>
    <col min="5879" max="5879" width="27.140625" style="53" customWidth="1"/>
    <col min="5880" max="5880" width="16.28515625" style="53" customWidth="1"/>
    <col min="5881" max="5881" width="13.85546875" style="53" customWidth="1"/>
    <col min="5882" max="6124" width="9.140625" style="53"/>
    <col min="6125" max="6125" width="1.7109375" style="53" customWidth="1"/>
    <col min="6126" max="6127" width="4.7109375" style="53" customWidth="1"/>
    <col min="6128" max="6128" width="54.140625" style="53" customWidth="1"/>
    <col min="6129" max="6129" width="52" style="53" customWidth="1"/>
    <col min="6130" max="6130" width="5.28515625" style="53" customWidth="1"/>
    <col min="6131" max="6131" width="5.85546875" style="53" bestFit="1" customWidth="1"/>
    <col min="6132" max="6132" width="16.42578125" style="53" customWidth="1"/>
    <col min="6133" max="6133" width="4.5703125" style="53" customWidth="1"/>
    <col min="6134" max="6134" width="14.140625" style="53" customWidth="1"/>
    <col min="6135" max="6135" width="27.140625" style="53" customWidth="1"/>
    <col min="6136" max="6136" width="16.28515625" style="53" customWidth="1"/>
    <col min="6137" max="6137" width="13.85546875" style="53" customWidth="1"/>
    <col min="6138" max="6380" width="9.140625" style="53"/>
    <col min="6381" max="6381" width="1.7109375" style="53" customWidth="1"/>
    <col min="6382" max="6383" width="4.7109375" style="53" customWidth="1"/>
    <col min="6384" max="6384" width="54.140625" style="53" customWidth="1"/>
    <col min="6385" max="6385" width="52" style="53" customWidth="1"/>
    <col min="6386" max="6386" width="5.28515625" style="53" customWidth="1"/>
    <col min="6387" max="6387" width="5.85546875" style="53" bestFit="1" customWidth="1"/>
    <col min="6388" max="6388" width="16.42578125" style="53" customWidth="1"/>
    <col min="6389" max="6389" width="4.5703125" style="53" customWidth="1"/>
    <col min="6390" max="6390" width="14.140625" style="53" customWidth="1"/>
    <col min="6391" max="6391" width="27.140625" style="53" customWidth="1"/>
    <col min="6392" max="6392" width="16.28515625" style="53" customWidth="1"/>
    <col min="6393" max="6393" width="13.85546875" style="53" customWidth="1"/>
    <col min="6394" max="6636" width="9.140625" style="53"/>
    <col min="6637" max="6637" width="1.7109375" style="53" customWidth="1"/>
    <col min="6638" max="6639" width="4.7109375" style="53" customWidth="1"/>
    <col min="6640" max="6640" width="54.140625" style="53" customWidth="1"/>
    <col min="6641" max="6641" width="52" style="53" customWidth="1"/>
    <col min="6642" max="6642" width="5.28515625" style="53" customWidth="1"/>
    <col min="6643" max="6643" width="5.85546875" style="53" bestFit="1" customWidth="1"/>
    <col min="6644" max="6644" width="16.42578125" style="53" customWidth="1"/>
    <col min="6645" max="6645" width="4.5703125" style="53" customWidth="1"/>
    <col min="6646" max="6646" width="14.140625" style="53" customWidth="1"/>
    <col min="6647" max="6647" width="27.140625" style="53" customWidth="1"/>
    <col min="6648" max="6648" width="16.28515625" style="53" customWidth="1"/>
    <col min="6649" max="6649" width="13.85546875" style="53" customWidth="1"/>
    <col min="6650" max="6892" width="9.140625" style="53"/>
    <col min="6893" max="6893" width="1.7109375" style="53" customWidth="1"/>
    <col min="6894" max="6895" width="4.7109375" style="53" customWidth="1"/>
    <col min="6896" max="6896" width="54.140625" style="53" customWidth="1"/>
    <col min="6897" max="6897" width="52" style="53" customWidth="1"/>
    <col min="6898" max="6898" width="5.28515625" style="53" customWidth="1"/>
    <col min="6899" max="6899" width="5.85546875" style="53" bestFit="1" customWidth="1"/>
    <col min="6900" max="6900" width="16.42578125" style="53" customWidth="1"/>
    <col min="6901" max="6901" width="4.5703125" style="53" customWidth="1"/>
    <col min="6902" max="6902" width="14.140625" style="53" customWidth="1"/>
    <col min="6903" max="6903" width="27.140625" style="53" customWidth="1"/>
    <col min="6904" max="6904" width="16.28515625" style="53" customWidth="1"/>
    <col min="6905" max="6905" width="13.85546875" style="53" customWidth="1"/>
    <col min="6906" max="7148" width="9.140625" style="53"/>
    <col min="7149" max="7149" width="1.7109375" style="53" customWidth="1"/>
    <col min="7150" max="7151" width="4.7109375" style="53" customWidth="1"/>
    <col min="7152" max="7152" width="54.140625" style="53" customWidth="1"/>
    <col min="7153" max="7153" width="52" style="53" customWidth="1"/>
    <col min="7154" max="7154" width="5.28515625" style="53" customWidth="1"/>
    <col min="7155" max="7155" width="5.85546875" style="53" bestFit="1" customWidth="1"/>
    <col min="7156" max="7156" width="16.42578125" style="53" customWidth="1"/>
    <col min="7157" max="7157" width="4.5703125" style="53" customWidth="1"/>
    <col min="7158" max="7158" width="14.140625" style="53" customWidth="1"/>
    <col min="7159" max="7159" width="27.140625" style="53" customWidth="1"/>
    <col min="7160" max="7160" width="16.28515625" style="53" customWidth="1"/>
    <col min="7161" max="7161" width="13.85546875" style="53" customWidth="1"/>
    <col min="7162" max="7404" width="9.140625" style="53"/>
    <col min="7405" max="7405" width="1.7109375" style="53" customWidth="1"/>
    <col min="7406" max="7407" width="4.7109375" style="53" customWidth="1"/>
    <col min="7408" max="7408" width="54.140625" style="53" customWidth="1"/>
    <col min="7409" max="7409" width="52" style="53" customWidth="1"/>
    <col min="7410" max="7410" width="5.28515625" style="53" customWidth="1"/>
    <col min="7411" max="7411" width="5.85546875" style="53" bestFit="1" customWidth="1"/>
    <col min="7412" max="7412" width="16.42578125" style="53" customWidth="1"/>
    <col min="7413" max="7413" width="4.5703125" style="53" customWidth="1"/>
    <col min="7414" max="7414" width="14.140625" style="53" customWidth="1"/>
    <col min="7415" max="7415" width="27.140625" style="53" customWidth="1"/>
    <col min="7416" max="7416" width="16.28515625" style="53" customWidth="1"/>
    <col min="7417" max="7417" width="13.85546875" style="53" customWidth="1"/>
    <col min="7418" max="7660" width="9.140625" style="53"/>
    <col min="7661" max="7661" width="1.7109375" style="53" customWidth="1"/>
    <col min="7662" max="7663" width="4.7109375" style="53" customWidth="1"/>
    <col min="7664" max="7664" width="54.140625" style="53" customWidth="1"/>
    <col min="7665" max="7665" width="52" style="53" customWidth="1"/>
    <col min="7666" max="7666" width="5.28515625" style="53" customWidth="1"/>
    <col min="7667" max="7667" width="5.85546875" style="53" bestFit="1" customWidth="1"/>
    <col min="7668" max="7668" width="16.42578125" style="53" customWidth="1"/>
    <col min="7669" max="7669" width="4.5703125" style="53" customWidth="1"/>
    <col min="7670" max="7670" width="14.140625" style="53" customWidth="1"/>
    <col min="7671" max="7671" width="27.140625" style="53" customWidth="1"/>
    <col min="7672" max="7672" width="16.28515625" style="53" customWidth="1"/>
    <col min="7673" max="7673" width="13.85546875" style="53" customWidth="1"/>
    <col min="7674" max="7916" width="9.140625" style="53"/>
    <col min="7917" max="7917" width="1.7109375" style="53" customWidth="1"/>
    <col min="7918" max="7919" width="4.7109375" style="53" customWidth="1"/>
    <col min="7920" max="7920" width="54.140625" style="53" customWidth="1"/>
    <col min="7921" max="7921" width="52" style="53" customWidth="1"/>
    <col min="7922" max="7922" width="5.28515625" style="53" customWidth="1"/>
    <col min="7923" max="7923" width="5.85546875" style="53" bestFit="1" customWidth="1"/>
    <col min="7924" max="7924" width="16.42578125" style="53" customWidth="1"/>
    <col min="7925" max="7925" width="4.5703125" style="53" customWidth="1"/>
    <col min="7926" max="7926" width="14.140625" style="53" customWidth="1"/>
    <col min="7927" max="7927" width="27.140625" style="53" customWidth="1"/>
    <col min="7928" max="7928" width="16.28515625" style="53" customWidth="1"/>
    <col min="7929" max="7929" width="13.85546875" style="53" customWidth="1"/>
    <col min="7930" max="8172" width="9.140625" style="53"/>
    <col min="8173" max="8173" width="1.7109375" style="53" customWidth="1"/>
    <col min="8174" max="8175" width="4.7109375" style="53" customWidth="1"/>
    <col min="8176" max="8176" width="54.140625" style="53" customWidth="1"/>
    <col min="8177" max="8177" width="52" style="53" customWidth="1"/>
    <col min="8178" max="8178" width="5.28515625" style="53" customWidth="1"/>
    <col min="8179" max="8179" width="5.85546875" style="53" bestFit="1" customWidth="1"/>
    <col min="8180" max="8180" width="16.42578125" style="53" customWidth="1"/>
    <col min="8181" max="8181" width="4.5703125" style="53" customWidth="1"/>
    <col min="8182" max="8182" width="14.140625" style="53" customWidth="1"/>
    <col min="8183" max="8183" width="27.140625" style="53" customWidth="1"/>
    <col min="8184" max="8184" width="16.28515625" style="53" customWidth="1"/>
    <col min="8185" max="8185" width="13.85546875" style="53" customWidth="1"/>
    <col min="8186" max="8428" width="9.140625" style="53"/>
    <col min="8429" max="8429" width="1.7109375" style="53" customWidth="1"/>
    <col min="8430" max="8431" width="4.7109375" style="53" customWidth="1"/>
    <col min="8432" max="8432" width="54.140625" style="53" customWidth="1"/>
    <col min="8433" max="8433" width="52" style="53" customWidth="1"/>
    <col min="8434" max="8434" width="5.28515625" style="53" customWidth="1"/>
    <col min="8435" max="8435" width="5.85546875" style="53" bestFit="1" customWidth="1"/>
    <col min="8436" max="8436" width="16.42578125" style="53" customWidth="1"/>
    <col min="8437" max="8437" width="4.5703125" style="53" customWidth="1"/>
    <col min="8438" max="8438" width="14.140625" style="53" customWidth="1"/>
    <col min="8439" max="8439" width="27.140625" style="53" customWidth="1"/>
    <col min="8440" max="8440" width="16.28515625" style="53" customWidth="1"/>
    <col min="8441" max="8441" width="13.85546875" style="53" customWidth="1"/>
    <col min="8442" max="8684" width="9.140625" style="53"/>
    <col min="8685" max="8685" width="1.7109375" style="53" customWidth="1"/>
    <col min="8686" max="8687" width="4.7109375" style="53" customWidth="1"/>
    <col min="8688" max="8688" width="54.140625" style="53" customWidth="1"/>
    <col min="8689" max="8689" width="52" style="53" customWidth="1"/>
    <col min="8690" max="8690" width="5.28515625" style="53" customWidth="1"/>
    <col min="8691" max="8691" width="5.85546875" style="53" bestFit="1" customWidth="1"/>
    <col min="8692" max="8692" width="16.42578125" style="53" customWidth="1"/>
    <col min="8693" max="8693" width="4.5703125" style="53" customWidth="1"/>
    <col min="8694" max="8694" width="14.140625" style="53" customWidth="1"/>
    <col min="8695" max="8695" width="27.140625" style="53" customWidth="1"/>
    <col min="8696" max="8696" width="16.28515625" style="53" customWidth="1"/>
    <col min="8697" max="8697" width="13.85546875" style="53" customWidth="1"/>
    <col min="8698" max="8940" width="9.140625" style="53"/>
    <col min="8941" max="8941" width="1.7109375" style="53" customWidth="1"/>
    <col min="8942" max="8943" width="4.7109375" style="53" customWidth="1"/>
    <col min="8944" max="8944" width="54.140625" style="53" customWidth="1"/>
    <col min="8945" max="8945" width="52" style="53" customWidth="1"/>
    <col min="8946" max="8946" width="5.28515625" style="53" customWidth="1"/>
    <col min="8947" max="8947" width="5.85546875" style="53" bestFit="1" customWidth="1"/>
    <col min="8948" max="8948" width="16.42578125" style="53" customWidth="1"/>
    <col min="8949" max="8949" width="4.5703125" style="53" customWidth="1"/>
    <col min="8950" max="8950" width="14.140625" style="53" customWidth="1"/>
    <col min="8951" max="8951" width="27.140625" style="53" customWidth="1"/>
    <col min="8952" max="8952" width="16.28515625" style="53" customWidth="1"/>
    <col min="8953" max="8953" width="13.85546875" style="53" customWidth="1"/>
    <col min="8954" max="9196" width="9.140625" style="53"/>
    <col min="9197" max="9197" width="1.7109375" style="53" customWidth="1"/>
    <col min="9198" max="9199" width="4.7109375" style="53" customWidth="1"/>
    <col min="9200" max="9200" width="54.140625" style="53" customWidth="1"/>
    <col min="9201" max="9201" width="52" style="53" customWidth="1"/>
    <col min="9202" max="9202" width="5.28515625" style="53" customWidth="1"/>
    <col min="9203" max="9203" width="5.85546875" style="53" bestFit="1" customWidth="1"/>
    <col min="9204" max="9204" width="16.42578125" style="53" customWidth="1"/>
    <col min="9205" max="9205" width="4.5703125" style="53" customWidth="1"/>
    <col min="9206" max="9206" width="14.140625" style="53" customWidth="1"/>
    <col min="9207" max="9207" width="27.140625" style="53" customWidth="1"/>
    <col min="9208" max="9208" width="16.28515625" style="53" customWidth="1"/>
    <col min="9209" max="9209" width="13.85546875" style="53" customWidth="1"/>
    <col min="9210" max="9452" width="9.140625" style="53"/>
    <col min="9453" max="9453" width="1.7109375" style="53" customWidth="1"/>
    <col min="9454" max="9455" width="4.7109375" style="53" customWidth="1"/>
    <col min="9456" max="9456" width="54.140625" style="53" customWidth="1"/>
    <col min="9457" max="9457" width="52" style="53" customWidth="1"/>
    <col min="9458" max="9458" width="5.28515625" style="53" customWidth="1"/>
    <col min="9459" max="9459" width="5.85546875" style="53" bestFit="1" customWidth="1"/>
    <col min="9460" max="9460" width="16.42578125" style="53" customWidth="1"/>
    <col min="9461" max="9461" width="4.5703125" style="53" customWidth="1"/>
    <col min="9462" max="9462" width="14.140625" style="53" customWidth="1"/>
    <col min="9463" max="9463" width="27.140625" style="53" customWidth="1"/>
    <col min="9464" max="9464" width="16.28515625" style="53" customWidth="1"/>
    <col min="9465" max="9465" width="13.85546875" style="53" customWidth="1"/>
    <col min="9466" max="9708" width="9.140625" style="53"/>
    <col min="9709" max="9709" width="1.7109375" style="53" customWidth="1"/>
    <col min="9710" max="9711" width="4.7109375" style="53" customWidth="1"/>
    <col min="9712" max="9712" width="54.140625" style="53" customWidth="1"/>
    <col min="9713" max="9713" width="52" style="53" customWidth="1"/>
    <col min="9714" max="9714" width="5.28515625" style="53" customWidth="1"/>
    <col min="9715" max="9715" width="5.85546875" style="53" bestFit="1" customWidth="1"/>
    <col min="9716" max="9716" width="16.42578125" style="53" customWidth="1"/>
    <col min="9717" max="9717" width="4.5703125" style="53" customWidth="1"/>
    <col min="9718" max="9718" width="14.140625" style="53" customWidth="1"/>
    <col min="9719" max="9719" width="27.140625" style="53" customWidth="1"/>
    <col min="9720" max="9720" width="16.28515625" style="53" customWidth="1"/>
    <col min="9721" max="9721" width="13.85546875" style="53" customWidth="1"/>
    <col min="9722" max="9964" width="9.140625" style="53"/>
    <col min="9965" max="9965" width="1.7109375" style="53" customWidth="1"/>
    <col min="9966" max="9967" width="4.7109375" style="53" customWidth="1"/>
    <col min="9968" max="9968" width="54.140625" style="53" customWidth="1"/>
    <col min="9969" max="9969" width="52" style="53" customWidth="1"/>
    <col min="9970" max="9970" width="5.28515625" style="53" customWidth="1"/>
    <col min="9971" max="9971" width="5.85546875" style="53" bestFit="1" customWidth="1"/>
    <col min="9972" max="9972" width="16.42578125" style="53" customWidth="1"/>
    <col min="9973" max="9973" width="4.5703125" style="53" customWidth="1"/>
    <col min="9974" max="9974" width="14.140625" style="53" customWidth="1"/>
    <col min="9975" max="9975" width="27.140625" style="53" customWidth="1"/>
    <col min="9976" max="9976" width="16.28515625" style="53" customWidth="1"/>
    <col min="9977" max="9977" width="13.85546875" style="53" customWidth="1"/>
    <col min="9978" max="10220" width="9.140625" style="53"/>
    <col min="10221" max="10221" width="1.7109375" style="53" customWidth="1"/>
    <col min="10222" max="10223" width="4.7109375" style="53" customWidth="1"/>
    <col min="10224" max="10224" width="54.140625" style="53" customWidth="1"/>
    <col min="10225" max="10225" width="52" style="53" customWidth="1"/>
    <col min="10226" max="10226" width="5.28515625" style="53" customWidth="1"/>
    <col min="10227" max="10227" width="5.85546875" style="53" bestFit="1" customWidth="1"/>
    <col min="10228" max="10228" width="16.42578125" style="53" customWidth="1"/>
    <col min="10229" max="10229" width="4.5703125" style="53" customWidth="1"/>
    <col min="10230" max="10230" width="14.140625" style="53" customWidth="1"/>
    <col min="10231" max="10231" width="27.140625" style="53" customWidth="1"/>
    <col min="10232" max="10232" width="16.28515625" style="53" customWidth="1"/>
    <col min="10233" max="10233" width="13.85546875" style="53" customWidth="1"/>
    <col min="10234" max="10476" width="9.140625" style="53"/>
    <col min="10477" max="10477" width="1.7109375" style="53" customWidth="1"/>
    <col min="10478" max="10479" width="4.7109375" style="53" customWidth="1"/>
    <col min="10480" max="10480" width="54.140625" style="53" customWidth="1"/>
    <col min="10481" max="10481" width="52" style="53" customWidth="1"/>
    <col min="10482" max="10482" width="5.28515625" style="53" customWidth="1"/>
    <col min="10483" max="10483" width="5.85546875" style="53" bestFit="1" customWidth="1"/>
    <col min="10484" max="10484" width="16.42578125" style="53" customWidth="1"/>
    <col min="10485" max="10485" width="4.5703125" style="53" customWidth="1"/>
    <col min="10486" max="10486" width="14.140625" style="53" customWidth="1"/>
    <col min="10487" max="10487" width="27.140625" style="53" customWidth="1"/>
    <col min="10488" max="10488" width="16.28515625" style="53" customWidth="1"/>
    <col min="10489" max="10489" width="13.85546875" style="53" customWidth="1"/>
    <col min="10490" max="10732" width="9.140625" style="53"/>
    <col min="10733" max="10733" width="1.7109375" style="53" customWidth="1"/>
    <col min="10734" max="10735" width="4.7109375" style="53" customWidth="1"/>
    <col min="10736" max="10736" width="54.140625" style="53" customWidth="1"/>
    <col min="10737" max="10737" width="52" style="53" customWidth="1"/>
    <col min="10738" max="10738" width="5.28515625" style="53" customWidth="1"/>
    <col min="10739" max="10739" width="5.85546875" style="53" bestFit="1" customWidth="1"/>
    <col min="10740" max="10740" width="16.42578125" style="53" customWidth="1"/>
    <col min="10741" max="10741" width="4.5703125" style="53" customWidth="1"/>
    <col min="10742" max="10742" width="14.140625" style="53" customWidth="1"/>
    <col min="10743" max="10743" width="27.140625" style="53" customWidth="1"/>
    <col min="10744" max="10744" width="16.28515625" style="53" customWidth="1"/>
    <col min="10745" max="10745" width="13.85546875" style="53" customWidth="1"/>
    <col min="10746" max="10988" width="9.140625" style="53"/>
    <col min="10989" max="10989" width="1.7109375" style="53" customWidth="1"/>
    <col min="10990" max="10991" width="4.7109375" style="53" customWidth="1"/>
    <col min="10992" max="10992" width="54.140625" style="53" customWidth="1"/>
    <col min="10993" max="10993" width="52" style="53" customWidth="1"/>
    <col min="10994" max="10994" width="5.28515625" style="53" customWidth="1"/>
    <col min="10995" max="10995" width="5.85546875" style="53" bestFit="1" customWidth="1"/>
    <col min="10996" max="10996" width="16.42578125" style="53" customWidth="1"/>
    <col min="10997" max="10997" width="4.5703125" style="53" customWidth="1"/>
    <col min="10998" max="10998" width="14.140625" style="53" customWidth="1"/>
    <col min="10999" max="10999" width="27.140625" style="53" customWidth="1"/>
    <col min="11000" max="11000" width="16.28515625" style="53" customWidth="1"/>
    <col min="11001" max="11001" width="13.85546875" style="53" customWidth="1"/>
    <col min="11002" max="11244" width="9.140625" style="53"/>
    <col min="11245" max="11245" width="1.7109375" style="53" customWidth="1"/>
    <col min="11246" max="11247" width="4.7109375" style="53" customWidth="1"/>
    <col min="11248" max="11248" width="54.140625" style="53" customWidth="1"/>
    <col min="11249" max="11249" width="52" style="53" customWidth="1"/>
    <col min="11250" max="11250" width="5.28515625" style="53" customWidth="1"/>
    <col min="11251" max="11251" width="5.85546875" style="53" bestFit="1" customWidth="1"/>
    <col min="11252" max="11252" width="16.42578125" style="53" customWidth="1"/>
    <col min="11253" max="11253" width="4.5703125" style="53" customWidth="1"/>
    <col min="11254" max="11254" width="14.140625" style="53" customWidth="1"/>
    <col min="11255" max="11255" width="27.140625" style="53" customWidth="1"/>
    <col min="11256" max="11256" width="16.28515625" style="53" customWidth="1"/>
    <col min="11257" max="11257" width="13.85546875" style="53" customWidth="1"/>
    <col min="11258" max="11500" width="9.140625" style="53"/>
    <col min="11501" max="11501" width="1.7109375" style="53" customWidth="1"/>
    <col min="11502" max="11503" width="4.7109375" style="53" customWidth="1"/>
    <col min="11504" max="11504" width="54.140625" style="53" customWidth="1"/>
    <col min="11505" max="11505" width="52" style="53" customWidth="1"/>
    <col min="11506" max="11506" width="5.28515625" style="53" customWidth="1"/>
    <col min="11507" max="11507" width="5.85546875" style="53" bestFit="1" customWidth="1"/>
    <col min="11508" max="11508" width="16.42578125" style="53" customWidth="1"/>
    <col min="11509" max="11509" width="4.5703125" style="53" customWidth="1"/>
    <col min="11510" max="11510" width="14.140625" style="53" customWidth="1"/>
    <col min="11511" max="11511" width="27.140625" style="53" customWidth="1"/>
    <col min="11512" max="11512" width="16.28515625" style="53" customWidth="1"/>
    <col min="11513" max="11513" width="13.85546875" style="53" customWidth="1"/>
    <col min="11514" max="11756" width="9.140625" style="53"/>
    <col min="11757" max="11757" width="1.7109375" style="53" customWidth="1"/>
    <col min="11758" max="11759" width="4.7109375" style="53" customWidth="1"/>
    <col min="11760" max="11760" width="54.140625" style="53" customWidth="1"/>
    <col min="11761" max="11761" width="52" style="53" customWidth="1"/>
    <col min="11762" max="11762" width="5.28515625" style="53" customWidth="1"/>
    <col min="11763" max="11763" width="5.85546875" style="53" bestFit="1" customWidth="1"/>
    <col min="11764" max="11764" width="16.42578125" style="53" customWidth="1"/>
    <col min="11765" max="11765" width="4.5703125" style="53" customWidth="1"/>
    <col min="11766" max="11766" width="14.140625" style="53" customWidth="1"/>
    <col min="11767" max="11767" width="27.140625" style="53" customWidth="1"/>
    <col min="11768" max="11768" width="16.28515625" style="53" customWidth="1"/>
    <col min="11769" max="11769" width="13.85546875" style="53" customWidth="1"/>
    <col min="11770" max="12012" width="9.140625" style="53"/>
    <col min="12013" max="12013" width="1.7109375" style="53" customWidth="1"/>
    <col min="12014" max="12015" width="4.7109375" style="53" customWidth="1"/>
    <col min="12016" max="12016" width="54.140625" style="53" customWidth="1"/>
    <col min="12017" max="12017" width="52" style="53" customWidth="1"/>
    <col min="12018" max="12018" width="5.28515625" style="53" customWidth="1"/>
    <col min="12019" max="12019" width="5.85546875" style="53" bestFit="1" customWidth="1"/>
    <col min="12020" max="12020" width="16.42578125" style="53" customWidth="1"/>
    <col min="12021" max="12021" width="4.5703125" style="53" customWidth="1"/>
    <col min="12022" max="12022" width="14.140625" style="53" customWidth="1"/>
    <col min="12023" max="12023" width="27.140625" style="53" customWidth="1"/>
    <col min="12024" max="12024" width="16.28515625" style="53" customWidth="1"/>
    <col min="12025" max="12025" width="13.85546875" style="53" customWidth="1"/>
    <col min="12026" max="12268" width="9.140625" style="53"/>
    <col min="12269" max="12269" width="1.7109375" style="53" customWidth="1"/>
    <col min="12270" max="12271" width="4.7109375" style="53" customWidth="1"/>
    <col min="12272" max="12272" width="54.140625" style="53" customWidth="1"/>
    <col min="12273" max="12273" width="52" style="53" customWidth="1"/>
    <col min="12274" max="12274" width="5.28515625" style="53" customWidth="1"/>
    <col min="12275" max="12275" width="5.85546875" style="53" bestFit="1" customWidth="1"/>
    <col min="12276" max="12276" width="16.42578125" style="53" customWidth="1"/>
    <col min="12277" max="12277" width="4.5703125" style="53" customWidth="1"/>
    <col min="12278" max="12278" width="14.140625" style="53" customWidth="1"/>
    <col min="12279" max="12279" width="27.140625" style="53" customWidth="1"/>
    <col min="12280" max="12280" width="16.28515625" style="53" customWidth="1"/>
    <col min="12281" max="12281" width="13.85546875" style="53" customWidth="1"/>
    <col min="12282" max="12524" width="9.140625" style="53"/>
    <col min="12525" max="12525" width="1.7109375" style="53" customWidth="1"/>
    <col min="12526" max="12527" width="4.7109375" style="53" customWidth="1"/>
    <col min="12528" max="12528" width="54.140625" style="53" customWidth="1"/>
    <col min="12529" max="12529" width="52" style="53" customWidth="1"/>
    <col min="12530" max="12530" width="5.28515625" style="53" customWidth="1"/>
    <col min="12531" max="12531" width="5.85546875" style="53" bestFit="1" customWidth="1"/>
    <col min="12532" max="12532" width="16.42578125" style="53" customWidth="1"/>
    <col min="12533" max="12533" width="4.5703125" style="53" customWidth="1"/>
    <col min="12534" max="12534" width="14.140625" style="53" customWidth="1"/>
    <col min="12535" max="12535" width="27.140625" style="53" customWidth="1"/>
    <col min="12536" max="12536" width="16.28515625" style="53" customWidth="1"/>
    <col min="12537" max="12537" width="13.85546875" style="53" customWidth="1"/>
    <col min="12538" max="12780" width="9.140625" style="53"/>
    <col min="12781" max="12781" width="1.7109375" style="53" customWidth="1"/>
    <col min="12782" max="12783" width="4.7109375" style="53" customWidth="1"/>
    <col min="12784" max="12784" width="54.140625" style="53" customWidth="1"/>
    <col min="12785" max="12785" width="52" style="53" customWidth="1"/>
    <col min="12786" max="12786" width="5.28515625" style="53" customWidth="1"/>
    <col min="12787" max="12787" width="5.85546875" style="53" bestFit="1" customWidth="1"/>
    <col min="12788" max="12788" width="16.42578125" style="53" customWidth="1"/>
    <col min="12789" max="12789" width="4.5703125" style="53" customWidth="1"/>
    <col min="12790" max="12790" width="14.140625" style="53" customWidth="1"/>
    <col min="12791" max="12791" width="27.140625" style="53" customWidth="1"/>
    <col min="12792" max="12792" width="16.28515625" style="53" customWidth="1"/>
    <col min="12793" max="12793" width="13.85546875" style="53" customWidth="1"/>
    <col min="12794" max="13036" width="9.140625" style="53"/>
    <col min="13037" max="13037" width="1.7109375" style="53" customWidth="1"/>
    <col min="13038" max="13039" width="4.7109375" style="53" customWidth="1"/>
    <col min="13040" max="13040" width="54.140625" style="53" customWidth="1"/>
    <col min="13041" max="13041" width="52" style="53" customWidth="1"/>
    <col min="13042" max="13042" width="5.28515625" style="53" customWidth="1"/>
    <col min="13043" max="13043" width="5.85546875" style="53" bestFit="1" customWidth="1"/>
    <col min="13044" max="13044" width="16.42578125" style="53" customWidth="1"/>
    <col min="13045" max="13045" width="4.5703125" style="53" customWidth="1"/>
    <col min="13046" max="13046" width="14.140625" style="53" customWidth="1"/>
    <col min="13047" max="13047" width="27.140625" style="53" customWidth="1"/>
    <col min="13048" max="13048" width="16.28515625" style="53" customWidth="1"/>
    <col min="13049" max="13049" width="13.85546875" style="53" customWidth="1"/>
    <col min="13050" max="13292" width="9.140625" style="53"/>
    <col min="13293" max="13293" width="1.7109375" style="53" customWidth="1"/>
    <col min="13294" max="13295" width="4.7109375" style="53" customWidth="1"/>
    <col min="13296" max="13296" width="54.140625" style="53" customWidth="1"/>
    <col min="13297" max="13297" width="52" style="53" customWidth="1"/>
    <col min="13298" max="13298" width="5.28515625" style="53" customWidth="1"/>
    <col min="13299" max="13299" width="5.85546875" style="53" bestFit="1" customWidth="1"/>
    <col min="13300" max="13300" width="16.42578125" style="53" customWidth="1"/>
    <col min="13301" max="13301" width="4.5703125" style="53" customWidth="1"/>
    <col min="13302" max="13302" width="14.140625" style="53" customWidth="1"/>
    <col min="13303" max="13303" width="27.140625" style="53" customWidth="1"/>
    <col min="13304" max="13304" width="16.28515625" style="53" customWidth="1"/>
    <col min="13305" max="13305" width="13.85546875" style="53" customWidth="1"/>
    <col min="13306" max="13548" width="9.140625" style="53"/>
    <col min="13549" max="13549" width="1.7109375" style="53" customWidth="1"/>
    <col min="13550" max="13551" width="4.7109375" style="53" customWidth="1"/>
    <col min="13552" max="13552" width="54.140625" style="53" customWidth="1"/>
    <col min="13553" max="13553" width="52" style="53" customWidth="1"/>
    <col min="13554" max="13554" width="5.28515625" style="53" customWidth="1"/>
    <col min="13555" max="13555" width="5.85546875" style="53" bestFit="1" customWidth="1"/>
    <col min="13556" max="13556" width="16.42578125" style="53" customWidth="1"/>
    <col min="13557" max="13557" width="4.5703125" style="53" customWidth="1"/>
    <col min="13558" max="13558" width="14.140625" style="53" customWidth="1"/>
    <col min="13559" max="13559" width="27.140625" style="53" customWidth="1"/>
    <col min="13560" max="13560" width="16.28515625" style="53" customWidth="1"/>
    <col min="13561" max="13561" width="13.85546875" style="53" customWidth="1"/>
    <col min="13562" max="13804" width="9.140625" style="53"/>
    <col min="13805" max="13805" width="1.7109375" style="53" customWidth="1"/>
    <col min="13806" max="13807" width="4.7109375" style="53" customWidth="1"/>
    <col min="13808" max="13808" width="54.140625" style="53" customWidth="1"/>
    <col min="13809" max="13809" width="52" style="53" customWidth="1"/>
    <col min="13810" max="13810" width="5.28515625" style="53" customWidth="1"/>
    <col min="13811" max="13811" width="5.85546875" style="53" bestFit="1" customWidth="1"/>
    <col min="13812" max="13812" width="16.42578125" style="53" customWidth="1"/>
    <col min="13813" max="13813" width="4.5703125" style="53" customWidth="1"/>
    <col min="13814" max="13814" width="14.140625" style="53" customWidth="1"/>
    <col min="13815" max="13815" width="27.140625" style="53" customWidth="1"/>
    <col min="13816" max="13816" width="16.28515625" style="53" customWidth="1"/>
    <col min="13817" max="13817" width="13.85546875" style="53" customWidth="1"/>
    <col min="13818" max="14060" width="9.140625" style="53"/>
    <col min="14061" max="14061" width="1.7109375" style="53" customWidth="1"/>
    <col min="14062" max="14063" width="4.7109375" style="53" customWidth="1"/>
    <col min="14064" max="14064" width="54.140625" style="53" customWidth="1"/>
    <col min="14065" max="14065" width="52" style="53" customWidth="1"/>
    <col min="14066" max="14066" width="5.28515625" style="53" customWidth="1"/>
    <col min="14067" max="14067" width="5.85546875" style="53" bestFit="1" customWidth="1"/>
    <col min="14068" max="14068" width="16.42578125" style="53" customWidth="1"/>
    <col min="14069" max="14069" width="4.5703125" style="53" customWidth="1"/>
    <col min="14070" max="14070" width="14.140625" style="53" customWidth="1"/>
    <col min="14071" max="14071" width="27.140625" style="53" customWidth="1"/>
    <col min="14072" max="14072" width="16.28515625" style="53" customWidth="1"/>
    <col min="14073" max="14073" width="13.85546875" style="53" customWidth="1"/>
    <col min="14074" max="14316" width="9.140625" style="53"/>
    <col min="14317" max="14317" width="1.7109375" style="53" customWidth="1"/>
    <col min="14318" max="14319" width="4.7109375" style="53" customWidth="1"/>
    <col min="14320" max="14320" width="54.140625" style="53" customWidth="1"/>
    <col min="14321" max="14321" width="52" style="53" customWidth="1"/>
    <col min="14322" max="14322" width="5.28515625" style="53" customWidth="1"/>
    <col min="14323" max="14323" width="5.85546875" style="53" bestFit="1" customWidth="1"/>
    <col min="14324" max="14324" width="16.42578125" style="53" customWidth="1"/>
    <col min="14325" max="14325" width="4.5703125" style="53" customWidth="1"/>
    <col min="14326" max="14326" width="14.140625" style="53" customWidth="1"/>
    <col min="14327" max="14327" width="27.140625" style="53" customWidth="1"/>
    <col min="14328" max="14328" width="16.28515625" style="53" customWidth="1"/>
    <col min="14329" max="14329" width="13.85546875" style="53" customWidth="1"/>
    <col min="14330" max="14572" width="9.140625" style="53"/>
    <col min="14573" max="14573" width="1.7109375" style="53" customWidth="1"/>
    <col min="14574" max="14575" width="4.7109375" style="53" customWidth="1"/>
    <col min="14576" max="14576" width="54.140625" style="53" customWidth="1"/>
    <col min="14577" max="14577" width="52" style="53" customWidth="1"/>
    <col min="14578" max="14578" width="5.28515625" style="53" customWidth="1"/>
    <col min="14579" max="14579" width="5.85546875" style="53" bestFit="1" customWidth="1"/>
    <col min="14580" max="14580" width="16.42578125" style="53" customWidth="1"/>
    <col min="14581" max="14581" width="4.5703125" style="53" customWidth="1"/>
    <col min="14582" max="14582" width="14.140625" style="53" customWidth="1"/>
    <col min="14583" max="14583" width="27.140625" style="53" customWidth="1"/>
    <col min="14584" max="14584" width="16.28515625" style="53" customWidth="1"/>
    <col min="14585" max="14585" width="13.85546875" style="53" customWidth="1"/>
    <col min="14586" max="14828" width="9.140625" style="53"/>
    <col min="14829" max="14829" width="1.7109375" style="53" customWidth="1"/>
    <col min="14830" max="14831" width="4.7109375" style="53" customWidth="1"/>
    <col min="14832" max="14832" width="54.140625" style="53" customWidth="1"/>
    <col min="14833" max="14833" width="52" style="53" customWidth="1"/>
    <col min="14834" max="14834" width="5.28515625" style="53" customWidth="1"/>
    <col min="14835" max="14835" width="5.85546875" style="53" bestFit="1" customWidth="1"/>
    <col min="14836" max="14836" width="16.42578125" style="53" customWidth="1"/>
    <col min="14837" max="14837" width="4.5703125" style="53" customWidth="1"/>
    <col min="14838" max="14838" width="14.140625" style="53" customWidth="1"/>
    <col min="14839" max="14839" width="27.140625" style="53" customWidth="1"/>
    <col min="14840" max="14840" width="16.28515625" style="53" customWidth="1"/>
    <col min="14841" max="14841" width="13.85546875" style="53" customWidth="1"/>
    <col min="14842" max="15084" width="9.140625" style="53"/>
    <col min="15085" max="15085" width="1.7109375" style="53" customWidth="1"/>
    <col min="15086" max="15087" width="4.7109375" style="53" customWidth="1"/>
    <col min="15088" max="15088" width="54.140625" style="53" customWidth="1"/>
    <col min="15089" max="15089" width="52" style="53" customWidth="1"/>
    <col min="15090" max="15090" width="5.28515625" style="53" customWidth="1"/>
    <col min="15091" max="15091" width="5.85546875" style="53" bestFit="1" customWidth="1"/>
    <col min="15092" max="15092" width="16.42578125" style="53" customWidth="1"/>
    <col min="15093" max="15093" width="4.5703125" style="53" customWidth="1"/>
    <col min="15094" max="15094" width="14.140625" style="53" customWidth="1"/>
    <col min="15095" max="15095" width="27.140625" style="53" customWidth="1"/>
    <col min="15096" max="15096" width="16.28515625" style="53" customWidth="1"/>
    <col min="15097" max="15097" width="13.85546875" style="53" customWidth="1"/>
    <col min="15098" max="15340" width="9.140625" style="53"/>
    <col min="15341" max="15341" width="1.7109375" style="53" customWidth="1"/>
    <col min="15342" max="15343" width="4.7109375" style="53" customWidth="1"/>
    <col min="15344" max="15344" width="54.140625" style="53" customWidth="1"/>
    <col min="15345" max="15345" width="52" style="53" customWidth="1"/>
    <col min="15346" max="15346" width="5.28515625" style="53" customWidth="1"/>
    <col min="15347" max="15347" width="5.85546875" style="53" bestFit="1" customWidth="1"/>
    <col min="15348" max="15348" width="16.42578125" style="53" customWidth="1"/>
    <col min="15349" max="15349" width="4.5703125" style="53" customWidth="1"/>
    <col min="15350" max="15350" width="14.140625" style="53" customWidth="1"/>
    <col min="15351" max="15351" width="27.140625" style="53" customWidth="1"/>
    <col min="15352" max="15352" width="16.28515625" style="53" customWidth="1"/>
    <col min="15353" max="15353" width="13.85546875" style="53" customWidth="1"/>
    <col min="15354" max="15596" width="9.140625" style="53"/>
    <col min="15597" max="15597" width="1.7109375" style="53" customWidth="1"/>
    <col min="15598" max="15599" width="4.7109375" style="53" customWidth="1"/>
    <col min="15600" max="15600" width="54.140625" style="53" customWidth="1"/>
    <col min="15601" max="15601" width="52" style="53" customWidth="1"/>
    <col min="15602" max="15602" width="5.28515625" style="53" customWidth="1"/>
    <col min="15603" max="15603" width="5.85546875" style="53" bestFit="1" customWidth="1"/>
    <col min="15604" max="15604" width="16.42578125" style="53" customWidth="1"/>
    <col min="15605" max="15605" width="4.5703125" style="53" customWidth="1"/>
    <col min="15606" max="15606" width="14.140625" style="53" customWidth="1"/>
    <col min="15607" max="15607" width="27.140625" style="53" customWidth="1"/>
    <col min="15608" max="15608" width="16.28515625" style="53" customWidth="1"/>
    <col min="15609" max="15609" width="13.85546875" style="53" customWidth="1"/>
    <col min="15610" max="15852" width="9.140625" style="53"/>
    <col min="15853" max="15853" width="1.7109375" style="53" customWidth="1"/>
    <col min="15854" max="15855" width="4.7109375" style="53" customWidth="1"/>
    <col min="15856" max="15856" width="54.140625" style="53" customWidth="1"/>
    <col min="15857" max="15857" width="52" style="53" customWidth="1"/>
    <col min="15858" max="15858" width="5.28515625" style="53" customWidth="1"/>
    <col min="15859" max="15859" width="5.85546875" style="53" bestFit="1" customWidth="1"/>
    <col min="15860" max="15860" width="16.42578125" style="53" customWidth="1"/>
    <col min="15861" max="15861" width="4.5703125" style="53" customWidth="1"/>
    <col min="15862" max="15862" width="14.140625" style="53" customWidth="1"/>
    <col min="15863" max="15863" width="27.140625" style="53" customWidth="1"/>
    <col min="15864" max="15864" width="16.28515625" style="53" customWidth="1"/>
    <col min="15865" max="15865" width="13.85546875" style="53" customWidth="1"/>
    <col min="15866" max="16108" width="9.140625" style="53"/>
    <col min="16109" max="16109" width="1.7109375" style="53" customWidth="1"/>
    <col min="16110" max="16111" width="4.7109375" style="53" customWidth="1"/>
    <col min="16112" max="16112" width="54.140625" style="53" customWidth="1"/>
    <col min="16113" max="16113" width="52" style="53" customWidth="1"/>
    <col min="16114" max="16114" width="5.28515625" style="53" customWidth="1"/>
    <col min="16115" max="16115" width="5.85546875" style="53" bestFit="1" customWidth="1"/>
    <col min="16116" max="16116" width="16.42578125" style="53" customWidth="1"/>
    <col min="16117" max="16117" width="4.5703125" style="53" customWidth="1"/>
    <col min="16118" max="16118" width="14.140625" style="53" customWidth="1"/>
    <col min="16119" max="16119" width="27.140625" style="53" customWidth="1"/>
    <col min="16120" max="16120" width="16.28515625" style="53" customWidth="1"/>
    <col min="16121" max="16121" width="13.85546875" style="53" customWidth="1"/>
    <col min="16122" max="16384" width="9.140625" style="53"/>
  </cols>
  <sheetData>
    <row r="2" spans="2:22" s="5" customFormat="1" ht="15.75" x14ac:dyDescent="0.25">
      <c r="B2" s="1128"/>
      <c r="C2" s="1645" t="s">
        <v>431</v>
      </c>
      <c r="D2" s="1645"/>
      <c r="E2" s="1645"/>
      <c r="F2" s="1645"/>
      <c r="G2" s="1645"/>
      <c r="H2" s="1645"/>
      <c r="I2" s="1645"/>
      <c r="J2" s="1645"/>
      <c r="K2" s="1645"/>
      <c r="L2" s="1645"/>
      <c r="M2" s="1645"/>
      <c r="N2" s="1125"/>
      <c r="O2" s="1125"/>
      <c r="P2" s="451"/>
      <c r="Q2" s="451"/>
      <c r="R2" s="3"/>
      <c r="T2" s="1442"/>
      <c r="U2" s="1442"/>
      <c r="V2" s="1442"/>
    </row>
    <row r="3" spans="2:22" s="5" customFormat="1" ht="13.5" customHeight="1" x14ac:dyDescent="0.25">
      <c r="B3" s="1128"/>
      <c r="C3" s="1646" t="s">
        <v>0</v>
      </c>
      <c r="D3" s="1646"/>
      <c r="E3" s="1646"/>
      <c r="F3" s="1646"/>
      <c r="G3" s="1646"/>
      <c r="H3" s="1646"/>
      <c r="I3" s="1646"/>
      <c r="J3" s="1646"/>
      <c r="K3" s="1646"/>
      <c r="L3" s="1646"/>
      <c r="M3" s="1646"/>
      <c r="N3" s="1646"/>
      <c r="O3" s="1646"/>
      <c r="P3" s="1646"/>
      <c r="Q3" s="1126"/>
      <c r="R3" s="481"/>
      <c r="T3" s="1442"/>
      <c r="U3" s="1442"/>
      <c r="V3" s="1442"/>
    </row>
    <row r="4" spans="2:22" s="4" customFormat="1" ht="14.25" customHeight="1" x14ac:dyDescent="0.25">
      <c r="B4" s="1128"/>
      <c r="C4" s="1646" t="s">
        <v>1</v>
      </c>
      <c r="D4" s="1646"/>
      <c r="E4" s="1646"/>
      <c r="F4" s="1646"/>
      <c r="G4" s="1646"/>
      <c r="H4" s="1646"/>
      <c r="I4" s="1646"/>
      <c r="J4" s="1646"/>
      <c r="K4" s="1646"/>
      <c r="L4" s="1646"/>
      <c r="M4" s="1646"/>
      <c r="N4" s="1646"/>
      <c r="O4" s="1646"/>
      <c r="P4" s="1646"/>
      <c r="Q4" s="1126"/>
      <c r="R4" s="481"/>
      <c r="T4" s="1410"/>
      <c r="U4" s="1410"/>
      <c r="V4" s="1410">
        <v>5400000000</v>
      </c>
    </row>
    <row r="5" spans="2:22" s="4" customFormat="1" ht="15.75" x14ac:dyDescent="0.25">
      <c r="B5" s="1128"/>
      <c r="C5" s="452"/>
      <c r="D5" s="453"/>
      <c r="E5" s="453"/>
      <c r="F5" s="453"/>
      <c r="G5" s="454"/>
      <c r="H5" s="455"/>
      <c r="I5" s="456"/>
      <c r="J5" s="457"/>
      <c r="K5" s="457"/>
      <c r="L5" s="457"/>
      <c r="M5" s="457"/>
      <c r="N5" s="457"/>
      <c r="O5" s="457"/>
      <c r="P5" s="458"/>
      <c r="Q5" s="456"/>
      <c r="R5" s="1129"/>
      <c r="T5" s="1410">
        <v>467675925842</v>
      </c>
      <c r="U5" s="1410"/>
      <c r="V5" s="1410">
        <v>417425925842</v>
      </c>
    </row>
    <row r="6" spans="2:22" s="4" customFormat="1" ht="18" customHeight="1" x14ac:dyDescent="0.25">
      <c r="B6" s="1128"/>
      <c r="C6" s="1647" t="s">
        <v>2</v>
      </c>
      <c r="D6" s="1647"/>
      <c r="E6" s="1505" t="s">
        <v>3</v>
      </c>
      <c r="F6" s="1505"/>
      <c r="G6" s="1505"/>
      <c r="H6" s="459"/>
      <c r="I6" s="456"/>
      <c r="J6" s="457"/>
      <c r="K6" s="457"/>
      <c r="L6" s="457"/>
      <c r="M6" s="457"/>
      <c r="N6" s="457"/>
      <c r="O6" s="457"/>
      <c r="P6" s="458"/>
      <c r="Q6" s="456"/>
      <c r="R6" s="1129"/>
      <c r="S6" s="1085">
        <f>S11-S8</f>
        <v>0</v>
      </c>
      <c r="T6" s="1410"/>
      <c r="U6" s="1410"/>
      <c r="V6" s="1410">
        <f>V5+V4</f>
        <v>422825925842</v>
      </c>
    </row>
    <row r="7" spans="2:22" s="4" customFormat="1" ht="8.25" customHeight="1" thickBot="1" x14ac:dyDescent="0.3">
      <c r="B7" s="1128"/>
      <c r="C7" s="6"/>
      <c r="D7" s="8"/>
      <c r="E7" s="8"/>
      <c r="F7" s="8"/>
      <c r="G7" s="9"/>
      <c r="H7" s="10"/>
      <c r="I7" s="11"/>
      <c r="J7" s="12"/>
      <c r="K7" s="12"/>
      <c r="L7" s="12"/>
      <c r="M7" s="12"/>
      <c r="N7" s="12"/>
      <c r="O7" s="12"/>
      <c r="P7" s="7"/>
      <c r="Q7" s="11"/>
      <c r="R7" s="1129"/>
      <c r="T7" s="1410"/>
      <c r="U7" s="1410"/>
      <c r="V7" s="1410"/>
    </row>
    <row r="8" spans="2:22" s="15" customFormat="1" ht="32.25" customHeight="1" thickTop="1" x14ac:dyDescent="0.25">
      <c r="B8" s="13"/>
      <c r="C8" s="1648" t="s">
        <v>433</v>
      </c>
      <c r="D8" s="1649"/>
      <c r="E8" s="1650"/>
      <c r="F8" s="1654" t="s">
        <v>418</v>
      </c>
      <c r="G8" s="1650"/>
      <c r="H8" s="1656" t="s">
        <v>417</v>
      </c>
      <c r="I8" s="1658" t="s">
        <v>419</v>
      </c>
      <c r="J8" s="1662" t="s">
        <v>530</v>
      </c>
      <c r="K8" s="1662" t="s">
        <v>534</v>
      </c>
      <c r="L8" s="1662" t="s">
        <v>488</v>
      </c>
      <c r="M8" s="1666" t="s">
        <v>533</v>
      </c>
      <c r="N8" s="1069" t="s">
        <v>509</v>
      </c>
      <c r="O8" s="987"/>
      <c r="P8" s="14"/>
      <c r="Q8" s="1643" t="s">
        <v>469</v>
      </c>
      <c r="R8" s="441" t="s">
        <v>426</v>
      </c>
      <c r="S8" s="16">
        <v>15848487571</v>
      </c>
      <c r="T8" s="21">
        <f>S10+S11</f>
        <v>323813925842</v>
      </c>
      <c r="U8" s="21">
        <v>417675925842</v>
      </c>
      <c r="V8" s="21">
        <v>448325925842</v>
      </c>
    </row>
    <row r="9" spans="2:22" s="15" customFormat="1" x14ac:dyDescent="0.25">
      <c r="B9" s="13"/>
      <c r="C9" s="1651"/>
      <c r="D9" s="1652"/>
      <c r="E9" s="1653"/>
      <c r="F9" s="1655"/>
      <c r="G9" s="1653"/>
      <c r="H9" s="1657"/>
      <c r="I9" s="1659"/>
      <c r="J9" s="1663"/>
      <c r="K9" s="1663"/>
      <c r="L9" s="1663"/>
      <c r="M9" s="1667"/>
      <c r="N9" s="1070"/>
      <c r="O9" s="987"/>
      <c r="P9" s="14"/>
      <c r="Q9" s="1644"/>
      <c r="R9" s="14"/>
      <c r="T9" s="21"/>
      <c r="U9" s="21"/>
      <c r="V9" s="21"/>
    </row>
    <row r="10" spans="2:22" s="15" customFormat="1" ht="19.5" customHeight="1" x14ac:dyDescent="0.25">
      <c r="B10" s="13"/>
      <c r="C10" s="1632">
        <v>1</v>
      </c>
      <c r="D10" s="1633"/>
      <c r="E10" s="1634"/>
      <c r="F10" s="1635">
        <v>2</v>
      </c>
      <c r="G10" s="1636"/>
      <c r="H10" s="18">
        <v>3</v>
      </c>
      <c r="I10" s="18">
        <v>4</v>
      </c>
      <c r="J10" s="607">
        <v>9</v>
      </c>
      <c r="K10" s="607">
        <v>5</v>
      </c>
      <c r="L10" s="858">
        <v>5</v>
      </c>
      <c r="M10" s="859">
        <v>5</v>
      </c>
      <c r="N10" s="988"/>
      <c r="O10" s="988"/>
      <c r="P10" s="20"/>
      <c r="Q10" s="507"/>
      <c r="R10" s="20"/>
      <c r="S10" s="21">
        <v>307965438271</v>
      </c>
      <c r="T10" s="21">
        <f>S10-K11</f>
        <v>-37348487571</v>
      </c>
      <c r="U10" s="21">
        <f>K11-L11</f>
        <v>21500000000</v>
      </c>
      <c r="V10" s="21">
        <f>M11-V8</f>
        <v>0</v>
      </c>
    </row>
    <row r="11" spans="2:22" s="29" customFormat="1" ht="29.25" customHeight="1" x14ac:dyDescent="0.25">
      <c r="B11" s="13"/>
      <c r="C11" s="22"/>
      <c r="D11" s="1635" t="s">
        <v>4</v>
      </c>
      <c r="E11" s="1637"/>
      <c r="F11" s="1637"/>
      <c r="G11" s="1636"/>
      <c r="H11" s="23"/>
      <c r="I11" s="24"/>
      <c r="J11" s="608">
        <f>J12+J52</f>
        <v>323813925842</v>
      </c>
      <c r="K11" s="608">
        <f>K12+K52</f>
        <v>345313925842</v>
      </c>
      <c r="L11" s="608">
        <f>L12+L52</f>
        <v>323813925842</v>
      </c>
      <c r="M11" s="25">
        <f>M12+M52</f>
        <v>448325925842</v>
      </c>
      <c r="N11" s="989"/>
      <c r="O11" s="989"/>
      <c r="P11" s="26"/>
      <c r="Q11" s="508"/>
      <c r="R11" s="485">
        <f>SUM(R12:R262)</f>
        <v>19915000000</v>
      </c>
      <c r="S11" s="27">
        <f>J11-S10</f>
        <v>15848487571</v>
      </c>
      <c r="T11" s="396">
        <f>K11-T8</f>
        <v>21500000000</v>
      </c>
      <c r="U11" s="396">
        <f>L11-M11</f>
        <v>-124512000000</v>
      </c>
      <c r="V11" s="396"/>
    </row>
    <row r="12" spans="2:22" s="15" customFormat="1" ht="30" customHeight="1" x14ac:dyDescent="0.25">
      <c r="B12" s="13"/>
      <c r="C12" s="30"/>
      <c r="D12" s="1638"/>
      <c r="E12" s="1638"/>
      <c r="F12" s="1638"/>
      <c r="G12" s="1638"/>
      <c r="H12" s="1638"/>
      <c r="I12" s="1639"/>
      <c r="J12" s="609">
        <f>J13+J24+J40+J43+J46</f>
        <v>11438515300</v>
      </c>
      <c r="K12" s="609">
        <f>K13+K24+K40+K43+K46</f>
        <v>11438515300</v>
      </c>
      <c r="L12" s="609">
        <f>L13+L24+L40+L43+L46</f>
        <v>11438515300</v>
      </c>
      <c r="M12" s="31">
        <f>M13+M24+M40+M43+M46</f>
        <v>11388515300</v>
      </c>
      <c r="N12" s="990"/>
      <c r="O12" s="990"/>
      <c r="P12" s="32"/>
      <c r="Q12" s="509"/>
      <c r="R12" s="486"/>
      <c r="S12" s="33"/>
      <c r="T12" s="21"/>
      <c r="U12" s="21">
        <f>M11-T8</f>
        <v>124512000000</v>
      </c>
      <c r="V12" s="21"/>
    </row>
    <row r="13" spans="2:22" s="15" customFormat="1" ht="21" customHeight="1" x14ac:dyDescent="0.25">
      <c r="B13" s="13"/>
      <c r="C13" s="34" t="s">
        <v>432</v>
      </c>
      <c r="D13" s="1640" t="s">
        <v>6</v>
      </c>
      <c r="E13" s="1641"/>
      <c r="F13" s="1641"/>
      <c r="G13" s="1642"/>
      <c r="H13" s="35" t="s">
        <v>7</v>
      </c>
      <c r="I13" s="36"/>
      <c r="J13" s="610">
        <f>J20+J15+J16+J17+J18+J21+J22+J14+J19</f>
        <v>5166573300</v>
      </c>
      <c r="K13" s="610">
        <f>K20+K15+K16+K17+K18+K21+K22+K14+K19</f>
        <v>5166573300</v>
      </c>
      <c r="L13" s="610">
        <f>L20+L15+L16+L17+L18+L21+L22+L14+L19</f>
        <v>5166573300</v>
      </c>
      <c r="M13" s="37">
        <f>M20+M15+M16+M17+M18+M21+M22+M14+M19</f>
        <v>5166573300</v>
      </c>
      <c r="N13" s="991"/>
      <c r="O13" s="991"/>
      <c r="P13" s="38"/>
      <c r="Q13" s="510"/>
      <c r="R13" s="487"/>
      <c r="T13" s="21"/>
      <c r="U13" s="21">
        <f>U8-M11</f>
        <v>-30650000000</v>
      </c>
      <c r="V13" s="21"/>
    </row>
    <row r="14" spans="2:22" s="62" customFormat="1" ht="27.75" customHeight="1" x14ac:dyDescent="0.25">
      <c r="B14" s="59"/>
      <c r="C14" s="39"/>
      <c r="D14" s="140" t="s">
        <v>5</v>
      </c>
      <c r="E14" s="1623" t="s">
        <v>9</v>
      </c>
      <c r="F14" s="1624"/>
      <c r="G14" s="1625"/>
      <c r="H14" s="745" t="s">
        <v>497</v>
      </c>
      <c r="I14" s="746">
        <v>1</v>
      </c>
      <c r="J14" s="611">
        <v>755192500</v>
      </c>
      <c r="K14" s="611">
        <v>755192500</v>
      </c>
      <c r="L14" s="611">
        <f>755192500</f>
        <v>755192500</v>
      </c>
      <c r="M14" s="43">
        <f>755192500</f>
        <v>755192500</v>
      </c>
      <c r="N14" s="44"/>
      <c r="O14" s="44"/>
      <c r="P14" s="44"/>
      <c r="Q14" s="747"/>
      <c r="R14" s="488"/>
      <c r="T14" s="731"/>
      <c r="U14" s="731"/>
      <c r="V14" s="731"/>
    </row>
    <row r="15" spans="2:22" s="62" customFormat="1" ht="26.25" customHeight="1" x14ac:dyDescent="0.25">
      <c r="B15" s="59"/>
      <c r="C15" s="39"/>
      <c r="D15" s="79" t="s">
        <v>10</v>
      </c>
      <c r="E15" s="1623" t="s">
        <v>11</v>
      </c>
      <c r="F15" s="1624"/>
      <c r="G15" s="1625"/>
      <c r="H15" s="837" t="s">
        <v>12</v>
      </c>
      <c r="I15" s="746">
        <v>1</v>
      </c>
      <c r="J15" s="612">
        <v>1921800000</v>
      </c>
      <c r="K15" s="612">
        <v>1921800000</v>
      </c>
      <c r="L15" s="612">
        <v>1921800000</v>
      </c>
      <c r="M15" s="47">
        <v>1921800000</v>
      </c>
      <c r="N15" s="44"/>
      <c r="O15" s="44"/>
      <c r="P15" s="44"/>
      <c r="Q15" s="747"/>
      <c r="R15" s="488"/>
      <c r="T15" s="731">
        <v>1958487571</v>
      </c>
      <c r="U15" s="731"/>
      <c r="V15" s="731"/>
    </row>
    <row r="16" spans="2:22" s="62" customFormat="1" ht="26.25" customHeight="1" x14ac:dyDescent="0.25">
      <c r="B16" s="59"/>
      <c r="C16" s="39"/>
      <c r="D16" s="140" t="s">
        <v>13</v>
      </c>
      <c r="E16" s="1623" t="s">
        <v>14</v>
      </c>
      <c r="F16" s="1624"/>
      <c r="G16" s="1625"/>
      <c r="H16" s="837" t="s">
        <v>15</v>
      </c>
      <c r="I16" s="746">
        <v>1</v>
      </c>
      <c r="J16" s="612">
        <f>1968500000-21419200</f>
        <v>1947080800</v>
      </c>
      <c r="K16" s="612">
        <f>1968500000-21419200</f>
        <v>1947080800</v>
      </c>
      <c r="L16" s="612">
        <f>1968500000-21419200</f>
        <v>1947080800</v>
      </c>
      <c r="M16" s="47">
        <f>1968500000-21419200</f>
        <v>1947080800</v>
      </c>
      <c r="N16" s="44"/>
      <c r="O16" s="44"/>
      <c r="P16" s="44"/>
      <c r="Q16" s="747"/>
      <c r="R16" s="488"/>
      <c r="T16" s="731"/>
      <c r="U16" s="731"/>
      <c r="V16" s="731"/>
    </row>
    <row r="17" spans="2:22" s="62" customFormat="1" ht="20.25" customHeight="1" x14ac:dyDescent="0.25">
      <c r="B17" s="59"/>
      <c r="C17" s="39"/>
      <c r="D17" s="140" t="s">
        <v>16</v>
      </c>
      <c r="E17" s="1623" t="s">
        <v>17</v>
      </c>
      <c r="F17" s="1624"/>
      <c r="G17" s="1625"/>
      <c r="H17" s="837" t="s">
        <v>18</v>
      </c>
      <c r="I17" s="746">
        <v>1</v>
      </c>
      <c r="J17" s="612">
        <v>200000000</v>
      </c>
      <c r="K17" s="612">
        <v>200000000</v>
      </c>
      <c r="L17" s="612">
        <v>200000000</v>
      </c>
      <c r="M17" s="47">
        <v>200000000</v>
      </c>
      <c r="N17" s="44"/>
      <c r="O17" s="44"/>
      <c r="P17" s="44"/>
      <c r="Q17" s="747"/>
      <c r="R17" s="488"/>
      <c r="T17" s="731"/>
      <c r="U17" s="731"/>
      <c r="V17" s="731"/>
    </row>
    <row r="18" spans="2:22" s="62" customFormat="1" ht="20.25" customHeight="1" x14ac:dyDescent="0.25">
      <c r="B18" s="59"/>
      <c r="C18" s="39"/>
      <c r="D18" s="140" t="s">
        <v>19</v>
      </c>
      <c r="E18" s="1623" t="s">
        <v>20</v>
      </c>
      <c r="F18" s="1624"/>
      <c r="G18" s="1625"/>
      <c r="H18" s="837" t="s">
        <v>21</v>
      </c>
      <c r="I18" s="746">
        <v>1</v>
      </c>
      <c r="J18" s="612">
        <f>238307500-65807500</f>
        <v>172500000</v>
      </c>
      <c r="K18" s="612">
        <f>238307500-65807500</f>
        <v>172500000</v>
      </c>
      <c r="L18" s="612">
        <f>238307500-65807500</f>
        <v>172500000</v>
      </c>
      <c r="M18" s="47">
        <f>238307500-65807500</f>
        <v>172500000</v>
      </c>
      <c r="N18" s="44"/>
      <c r="O18" s="44"/>
      <c r="P18" s="44"/>
      <c r="Q18" s="747"/>
      <c r="R18" s="488"/>
      <c r="T18" s="731"/>
      <c r="U18" s="731"/>
      <c r="V18" s="731"/>
    </row>
    <row r="19" spans="2:22" s="62" customFormat="1" ht="22.5" customHeight="1" x14ac:dyDescent="0.25">
      <c r="B19" s="59"/>
      <c r="C19" s="39"/>
      <c r="D19" s="140" t="s">
        <v>27</v>
      </c>
      <c r="E19" s="1629" t="s">
        <v>23</v>
      </c>
      <c r="F19" s="1630"/>
      <c r="G19" s="1631"/>
      <c r="H19" s="843" t="s">
        <v>24</v>
      </c>
      <c r="I19" s="746">
        <v>1</v>
      </c>
      <c r="J19" s="612">
        <v>100000000</v>
      </c>
      <c r="K19" s="612">
        <v>100000000</v>
      </c>
      <c r="L19" s="612">
        <v>100000000</v>
      </c>
      <c r="M19" s="47">
        <v>100000000</v>
      </c>
      <c r="N19" s="44"/>
      <c r="O19" s="44"/>
      <c r="P19" s="44"/>
      <c r="Q19" s="747"/>
      <c r="R19" s="488"/>
      <c r="T19" s="731"/>
      <c r="U19" s="731"/>
      <c r="V19" s="731"/>
    </row>
    <row r="20" spans="2:22" s="62" customFormat="1" ht="28.5" customHeight="1" x14ac:dyDescent="0.25">
      <c r="B20" s="59"/>
      <c r="C20" s="49"/>
      <c r="D20" s="79" t="s">
        <v>30</v>
      </c>
      <c r="E20" s="1623" t="s">
        <v>25</v>
      </c>
      <c r="F20" s="1624"/>
      <c r="G20" s="1625"/>
      <c r="H20" s="80" t="s">
        <v>26</v>
      </c>
      <c r="I20" s="81">
        <v>1</v>
      </c>
      <c r="J20" s="613">
        <v>10000000</v>
      </c>
      <c r="K20" s="613">
        <v>10000000</v>
      </c>
      <c r="L20" s="613">
        <v>10000000</v>
      </c>
      <c r="M20" s="52">
        <v>10000000</v>
      </c>
      <c r="N20" s="44"/>
      <c r="O20" s="44"/>
      <c r="P20" s="44"/>
      <c r="Q20" s="844"/>
      <c r="R20" s="488"/>
      <c r="T20" s="731"/>
      <c r="U20" s="731"/>
      <c r="V20" s="731"/>
    </row>
    <row r="21" spans="2:22" s="62" customFormat="1" ht="24.75" customHeight="1" x14ac:dyDescent="0.25">
      <c r="B21" s="59"/>
      <c r="C21" s="39"/>
      <c r="D21" s="140" t="s">
        <v>8</v>
      </c>
      <c r="E21" s="1623" t="s">
        <v>28</v>
      </c>
      <c r="F21" s="1624"/>
      <c r="G21" s="1625"/>
      <c r="H21" s="837" t="s">
        <v>29</v>
      </c>
      <c r="I21" s="746">
        <v>1</v>
      </c>
      <c r="J21" s="612">
        <f>40000000-10000000</f>
        <v>30000000</v>
      </c>
      <c r="K21" s="612">
        <f>40000000-10000000</f>
        <v>30000000</v>
      </c>
      <c r="L21" s="612">
        <f>40000000-10000000</f>
        <v>30000000</v>
      </c>
      <c r="M21" s="47">
        <f>40000000-10000000</f>
        <v>30000000</v>
      </c>
      <c r="N21" s="44"/>
      <c r="O21" s="44"/>
      <c r="P21" s="44"/>
      <c r="Q21" s="747"/>
      <c r="R21" s="488"/>
      <c r="T21" s="731"/>
      <c r="U21" s="731"/>
      <c r="V21" s="731"/>
    </row>
    <row r="22" spans="2:22" s="62" customFormat="1" ht="27" customHeight="1" x14ac:dyDescent="0.25">
      <c r="B22" s="59"/>
      <c r="C22" s="39"/>
      <c r="D22" s="140" t="s">
        <v>22</v>
      </c>
      <c r="E22" s="1623" t="s">
        <v>31</v>
      </c>
      <c r="F22" s="1624"/>
      <c r="G22" s="1625"/>
      <c r="H22" s="837" t="s">
        <v>32</v>
      </c>
      <c r="I22" s="746">
        <v>1</v>
      </c>
      <c r="J22" s="612">
        <f>30000000</f>
        <v>30000000</v>
      </c>
      <c r="K22" s="612">
        <f>30000000</f>
        <v>30000000</v>
      </c>
      <c r="L22" s="612">
        <f>30000000</f>
        <v>30000000</v>
      </c>
      <c r="M22" s="47">
        <f>30000000</f>
        <v>30000000</v>
      </c>
      <c r="N22" s="44"/>
      <c r="O22" s="44"/>
      <c r="P22" s="44"/>
      <c r="Q22" s="747"/>
      <c r="R22" s="488"/>
      <c r="T22" s="731"/>
      <c r="U22" s="731"/>
      <c r="V22" s="731"/>
    </row>
    <row r="23" spans="2:22" s="62" customFormat="1" ht="3.75" customHeight="1" x14ac:dyDescent="0.25">
      <c r="B23" s="59"/>
      <c r="C23" s="766"/>
      <c r="D23" s="759"/>
      <c r="E23" s="845"/>
      <c r="F23" s="1611"/>
      <c r="G23" s="1612"/>
      <c r="H23" s="846"/>
      <c r="I23" s="847"/>
      <c r="J23" s="611"/>
      <c r="K23" s="611"/>
      <c r="L23" s="611"/>
      <c r="M23" s="43"/>
      <c r="N23" s="44"/>
      <c r="O23" s="44"/>
      <c r="P23" s="44"/>
      <c r="Q23" s="848"/>
      <c r="R23" s="488"/>
      <c r="T23" s="731"/>
      <c r="U23" s="731"/>
      <c r="V23" s="731"/>
    </row>
    <row r="24" spans="2:22" s="62" customFormat="1" ht="26.25" customHeight="1" x14ac:dyDescent="0.25">
      <c r="B24" s="59"/>
      <c r="C24" s="34" t="s">
        <v>434</v>
      </c>
      <c r="D24" s="1640" t="s">
        <v>35</v>
      </c>
      <c r="E24" s="1641"/>
      <c r="F24" s="1641"/>
      <c r="G24" s="1642"/>
      <c r="H24" s="35" t="s">
        <v>36</v>
      </c>
      <c r="I24" s="36"/>
      <c r="J24" s="610">
        <f>J25+J26+J27+J28+J29+J33+J36+J37+J38</f>
        <v>4220250000</v>
      </c>
      <c r="K24" s="610">
        <f>K25+K26+K27+K28+K29+K33+K36+K37+K38</f>
        <v>4220250000</v>
      </c>
      <c r="L24" s="610">
        <f>L25+L26+L27+L28+L29+L33+L36+L37+L38</f>
        <v>4220250000</v>
      </c>
      <c r="M24" s="37">
        <f>M25+M26+M27+M28+M29+M33+M36+M37+M38</f>
        <v>4220250000</v>
      </c>
      <c r="N24" s="38"/>
      <c r="O24" s="38"/>
      <c r="P24" s="38"/>
      <c r="Q24" s="724"/>
      <c r="R24" s="487"/>
      <c r="T24" s="731"/>
      <c r="U24" s="731"/>
      <c r="V24" s="731"/>
    </row>
    <row r="25" spans="2:22" s="62" customFormat="1" ht="21" customHeight="1" x14ac:dyDescent="0.25">
      <c r="B25" s="59"/>
      <c r="C25" s="39"/>
      <c r="D25" s="140" t="s">
        <v>5</v>
      </c>
      <c r="E25" s="1529" t="s">
        <v>37</v>
      </c>
      <c r="F25" s="1622"/>
      <c r="G25" s="1530"/>
      <c r="H25" s="1161" t="s">
        <v>563</v>
      </c>
      <c r="I25" s="746">
        <v>1</v>
      </c>
      <c r="J25" s="611">
        <v>350000000</v>
      </c>
      <c r="K25" s="611">
        <v>350000000</v>
      </c>
      <c r="L25" s="611">
        <v>350000000</v>
      </c>
      <c r="M25" s="43">
        <v>350000000</v>
      </c>
      <c r="N25" s="44"/>
      <c r="O25" s="44"/>
      <c r="P25" s="44"/>
      <c r="Q25" s="747"/>
      <c r="R25" s="488"/>
      <c r="T25" s="731"/>
      <c r="U25" s="731"/>
      <c r="V25" s="731"/>
    </row>
    <row r="26" spans="2:22" s="62" customFormat="1" ht="21" customHeight="1" x14ac:dyDescent="0.25">
      <c r="B26" s="59"/>
      <c r="C26" s="39"/>
      <c r="D26" s="140" t="s">
        <v>10</v>
      </c>
      <c r="E26" s="1529" t="s">
        <v>485</v>
      </c>
      <c r="F26" s="1622"/>
      <c r="G26" s="1530"/>
      <c r="H26" s="1161" t="s">
        <v>39</v>
      </c>
      <c r="I26" s="746">
        <v>1</v>
      </c>
      <c r="J26" s="611">
        <v>452890000</v>
      </c>
      <c r="K26" s="611">
        <v>452890000</v>
      </c>
      <c r="L26" s="611">
        <f>452890000</f>
        <v>452890000</v>
      </c>
      <c r="M26" s="43">
        <f>452890000</f>
        <v>452890000</v>
      </c>
      <c r="N26" s="44"/>
      <c r="O26" s="44"/>
      <c r="P26" s="44"/>
      <c r="Q26" s="747"/>
      <c r="R26" s="488"/>
      <c r="T26" s="731"/>
      <c r="U26" s="731"/>
      <c r="V26" s="731"/>
    </row>
    <row r="27" spans="2:22" s="62" customFormat="1" ht="21" customHeight="1" x14ac:dyDescent="0.25">
      <c r="B27" s="59"/>
      <c r="C27" s="39"/>
      <c r="D27" s="140" t="s">
        <v>13</v>
      </c>
      <c r="E27" s="1529" t="s">
        <v>40</v>
      </c>
      <c r="F27" s="1622"/>
      <c r="G27" s="1530"/>
      <c r="H27" s="1161" t="s">
        <v>41</v>
      </c>
      <c r="I27" s="746">
        <v>1</v>
      </c>
      <c r="J27" s="612">
        <f>600000000</f>
        <v>600000000</v>
      </c>
      <c r="K27" s="612">
        <f>600000000</f>
        <v>600000000</v>
      </c>
      <c r="L27" s="612">
        <f>600000000</f>
        <v>600000000</v>
      </c>
      <c r="M27" s="47">
        <f>600000000</f>
        <v>600000000</v>
      </c>
      <c r="N27" s="44"/>
      <c r="O27" s="44"/>
      <c r="P27" s="44"/>
      <c r="Q27" s="747"/>
      <c r="R27" s="488"/>
      <c r="T27" s="731"/>
      <c r="U27" s="731"/>
      <c r="V27" s="731"/>
    </row>
    <row r="28" spans="2:22" s="62" customFormat="1" ht="21.75" customHeight="1" x14ac:dyDescent="0.25">
      <c r="B28" s="59"/>
      <c r="C28" s="766"/>
      <c r="D28" s="759" t="s">
        <v>16</v>
      </c>
      <c r="E28" s="1529" t="s">
        <v>42</v>
      </c>
      <c r="F28" s="1622"/>
      <c r="G28" s="1530"/>
      <c r="H28" s="1161" t="s">
        <v>43</v>
      </c>
      <c r="I28" s="746">
        <v>1</v>
      </c>
      <c r="J28" s="611">
        <v>243360000</v>
      </c>
      <c r="K28" s="611">
        <v>243360000</v>
      </c>
      <c r="L28" s="611">
        <v>243360000</v>
      </c>
      <c r="M28" s="43">
        <v>243360000</v>
      </c>
      <c r="N28" s="44"/>
      <c r="O28" s="44"/>
      <c r="P28" s="44"/>
      <c r="Q28" s="747"/>
      <c r="R28" s="488"/>
      <c r="T28" s="731"/>
      <c r="U28" s="731"/>
      <c r="V28" s="731"/>
    </row>
    <row r="29" spans="2:22" s="62" customFormat="1" ht="27" customHeight="1" x14ac:dyDescent="0.25">
      <c r="B29" s="59"/>
      <c r="C29" s="39"/>
      <c r="D29" s="140" t="s">
        <v>19</v>
      </c>
      <c r="E29" s="1618" t="s">
        <v>44</v>
      </c>
      <c r="F29" s="1619"/>
      <c r="G29" s="1620"/>
      <c r="H29" s="1162" t="s">
        <v>45</v>
      </c>
      <c r="I29" s="746">
        <v>1</v>
      </c>
      <c r="J29" s="660">
        <f>SUM(J30:J32)</f>
        <v>210000000</v>
      </c>
      <c r="K29" s="660">
        <f>SUM(K30:K32)</f>
        <v>210000000</v>
      </c>
      <c r="L29" s="660">
        <f>SUM(L30:L32)</f>
        <v>210000000</v>
      </c>
      <c r="M29" s="60">
        <f>SUM(M30:M32)</f>
        <v>210000000</v>
      </c>
      <c r="N29" s="61"/>
      <c r="O29" s="61"/>
      <c r="P29" s="61"/>
      <c r="Q29" s="747"/>
      <c r="R29" s="489"/>
      <c r="S29" s="63"/>
      <c r="T29" s="731"/>
      <c r="U29" s="731"/>
      <c r="V29" s="731"/>
    </row>
    <row r="30" spans="2:22" s="62" customFormat="1" ht="17.25" customHeight="1" x14ac:dyDescent="0.25">
      <c r="B30" s="59"/>
      <c r="C30" s="39"/>
      <c r="D30" s="140"/>
      <c r="E30" s="838" t="s">
        <v>46</v>
      </c>
      <c r="F30" s="1616" t="s">
        <v>47</v>
      </c>
      <c r="G30" s="1617"/>
      <c r="H30" s="1160" t="s">
        <v>48</v>
      </c>
      <c r="I30" s="137"/>
      <c r="J30" s="616">
        <v>200000000</v>
      </c>
      <c r="K30" s="616">
        <v>200000000</v>
      </c>
      <c r="L30" s="616">
        <v>200000000</v>
      </c>
      <c r="M30" s="66">
        <v>200000000</v>
      </c>
      <c r="N30" s="67"/>
      <c r="O30" s="67"/>
      <c r="P30" s="67"/>
      <c r="Q30" s="519"/>
      <c r="R30" s="490"/>
      <c r="S30" s="63"/>
      <c r="T30" s="731"/>
      <c r="U30" s="731"/>
      <c r="V30" s="731"/>
    </row>
    <row r="31" spans="2:22" s="62" customFormat="1" ht="23.25" customHeight="1" x14ac:dyDescent="0.25">
      <c r="B31" s="59"/>
      <c r="C31" s="39"/>
      <c r="D31" s="140"/>
      <c r="E31" s="838" t="s">
        <v>46</v>
      </c>
      <c r="F31" s="1616" t="s">
        <v>49</v>
      </c>
      <c r="G31" s="1617"/>
      <c r="H31" s="1160" t="s">
        <v>50</v>
      </c>
      <c r="I31" s="137"/>
      <c r="J31" s="616">
        <v>10000000</v>
      </c>
      <c r="K31" s="616">
        <v>10000000</v>
      </c>
      <c r="L31" s="616">
        <v>10000000</v>
      </c>
      <c r="M31" s="66">
        <v>10000000</v>
      </c>
      <c r="N31" s="67"/>
      <c r="O31" s="67"/>
      <c r="P31" s="67"/>
      <c r="Q31" s="519"/>
      <c r="R31" s="490"/>
      <c r="S31" s="63"/>
      <c r="T31" s="731"/>
      <c r="U31" s="731"/>
      <c r="V31" s="731"/>
    </row>
    <row r="32" spans="2:22" s="62" customFormat="1" ht="14.25" hidden="1" customHeight="1" x14ac:dyDescent="0.25">
      <c r="B32" s="59"/>
      <c r="C32" s="39"/>
      <c r="D32" s="140"/>
      <c r="E32" s="838" t="s">
        <v>46</v>
      </c>
      <c r="F32" s="1616" t="s">
        <v>482</v>
      </c>
      <c r="G32" s="1617"/>
      <c r="H32" s="1160" t="s">
        <v>483</v>
      </c>
      <c r="I32" s="137"/>
      <c r="J32" s="616"/>
      <c r="K32" s="616"/>
      <c r="L32" s="616"/>
      <c r="M32" s="66"/>
      <c r="N32" s="67"/>
      <c r="O32" s="67"/>
      <c r="P32" s="67"/>
      <c r="Q32" s="519"/>
      <c r="R32" s="490"/>
      <c r="S32" s="63"/>
      <c r="T32" s="731"/>
      <c r="U32" s="731"/>
      <c r="V32" s="731"/>
    </row>
    <row r="33" spans="2:22" s="62" customFormat="1" ht="26.25" customHeight="1" x14ac:dyDescent="0.25">
      <c r="B33" s="59"/>
      <c r="C33" s="39"/>
      <c r="D33" s="140" t="s">
        <v>27</v>
      </c>
      <c r="E33" s="1618" t="s">
        <v>51</v>
      </c>
      <c r="F33" s="1619"/>
      <c r="G33" s="1620"/>
      <c r="H33" s="1163" t="s">
        <v>53</v>
      </c>
      <c r="I33" s="746">
        <v>1</v>
      </c>
      <c r="J33" s="617">
        <f>SUM(J34:J35)</f>
        <v>950000000</v>
      </c>
      <c r="K33" s="617">
        <f>SUM(K34:K35)</f>
        <v>950000000</v>
      </c>
      <c r="L33" s="617">
        <f>SUM(L34:L35)</f>
        <v>950000000</v>
      </c>
      <c r="M33" s="71">
        <f>SUM(M34:M35)</f>
        <v>950000000</v>
      </c>
      <c r="N33" s="61"/>
      <c r="O33" s="61"/>
      <c r="P33" s="61"/>
      <c r="Q33" s="747"/>
      <c r="R33" s="489"/>
      <c r="S33" s="63"/>
      <c r="T33" s="731"/>
      <c r="U33" s="731"/>
      <c r="V33" s="731"/>
    </row>
    <row r="34" spans="2:22" s="62" customFormat="1" ht="18" customHeight="1" x14ac:dyDescent="0.25">
      <c r="B34" s="59"/>
      <c r="C34" s="39"/>
      <c r="D34" s="140"/>
      <c r="E34" s="838" t="s">
        <v>46</v>
      </c>
      <c r="F34" s="1616" t="s">
        <v>52</v>
      </c>
      <c r="G34" s="1617"/>
      <c r="H34" s="1160" t="s">
        <v>53</v>
      </c>
      <c r="I34" s="841"/>
      <c r="J34" s="618">
        <v>915000000</v>
      </c>
      <c r="K34" s="618">
        <v>915000000</v>
      </c>
      <c r="L34" s="618">
        <v>915000000</v>
      </c>
      <c r="M34" s="73">
        <v>915000000</v>
      </c>
      <c r="N34" s="67"/>
      <c r="O34" s="67"/>
      <c r="P34" s="67"/>
      <c r="Q34" s="842"/>
      <c r="R34" s="490"/>
      <c r="S34" s="63"/>
      <c r="T34" s="731"/>
      <c r="U34" s="731"/>
      <c r="V34" s="731"/>
    </row>
    <row r="35" spans="2:22" s="62" customFormat="1" ht="21.75" customHeight="1" x14ac:dyDescent="0.25">
      <c r="B35" s="59"/>
      <c r="C35" s="39"/>
      <c r="D35" s="140"/>
      <c r="E35" s="838" t="s">
        <v>46</v>
      </c>
      <c r="F35" s="1616" t="s">
        <v>54</v>
      </c>
      <c r="G35" s="1617"/>
      <c r="H35" s="1160" t="s">
        <v>55</v>
      </c>
      <c r="I35" s="137"/>
      <c r="J35" s="618">
        <v>35000000</v>
      </c>
      <c r="K35" s="618">
        <v>35000000</v>
      </c>
      <c r="L35" s="618">
        <v>35000000</v>
      </c>
      <c r="M35" s="73">
        <v>35000000</v>
      </c>
      <c r="N35" s="67"/>
      <c r="O35" s="67"/>
      <c r="P35" s="67"/>
      <c r="Q35" s="519"/>
      <c r="R35" s="490"/>
      <c r="S35" s="63"/>
      <c r="T35" s="731"/>
      <c r="U35" s="731"/>
      <c r="V35" s="731"/>
    </row>
    <row r="36" spans="2:22" s="62" customFormat="1" ht="21" customHeight="1" x14ac:dyDescent="0.25">
      <c r="B36" s="59"/>
      <c r="C36" s="39"/>
      <c r="D36" s="140" t="s">
        <v>30</v>
      </c>
      <c r="E36" s="1621" t="s">
        <v>56</v>
      </c>
      <c r="F36" s="1621"/>
      <c r="G36" s="1621"/>
      <c r="H36" s="1164" t="s">
        <v>57</v>
      </c>
      <c r="I36" s="746">
        <v>1</v>
      </c>
      <c r="J36" s="612">
        <v>150000000</v>
      </c>
      <c r="K36" s="612">
        <v>150000000</v>
      </c>
      <c r="L36" s="612">
        <v>150000000</v>
      </c>
      <c r="M36" s="47">
        <v>150000000</v>
      </c>
      <c r="N36" s="44"/>
      <c r="O36" s="44"/>
      <c r="P36" s="44"/>
      <c r="Q36" s="747"/>
      <c r="R36" s="488"/>
      <c r="T36" s="731"/>
      <c r="U36" s="731"/>
      <c r="V36" s="731"/>
    </row>
    <row r="37" spans="2:22" s="62" customFormat="1" ht="21" customHeight="1" x14ac:dyDescent="0.25">
      <c r="B37" s="59"/>
      <c r="C37" s="39"/>
      <c r="D37" s="140" t="s">
        <v>8</v>
      </c>
      <c r="E37" s="1621" t="s">
        <v>58</v>
      </c>
      <c r="F37" s="1621"/>
      <c r="G37" s="1621"/>
      <c r="H37" s="1161" t="s">
        <v>34</v>
      </c>
      <c r="I37" s="746">
        <v>1</v>
      </c>
      <c r="J37" s="612">
        <v>164000000</v>
      </c>
      <c r="K37" s="612">
        <v>164000000</v>
      </c>
      <c r="L37" s="612">
        <v>164000000</v>
      </c>
      <c r="M37" s="47">
        <v>164000000</v>
      </c>
      <c r="N37" s="44"/>
      <c r="O37" s="44"/>
      <c r="P37" s="44"/>
      <c r="Q37" s="747"/>
      <c r="R37" s="488"/>
      <c r="T37" s="731"/>
      <c r="U37" s="731"/>
      <c r="V37" s="731"/>
    </row>
    <row r="38" spans="2:22" s="229" customFormat="1" ht="19.5" customHeight="1" x14ac:dyDescent="0.25">
      <c r="B38" s="59"/>
      <c r="C38" s="39"/>
      <c r="D38" s="140" t="s">
        <v>22</v>
      </c>
      <c r="E38" s="1608" t="s">
        <v>33</v>
      </c>
      <c r="F38" s="1609"/>
      <c r="G38" s="1610"/>
      <c r="H38" s="1165" t="s">
        <v>498</v>
      </c>
      <c r="I38" s="81">
        <v>1</v>
      </c>
      <c r="J38" s="613">
        <f>200000000+900000000</f>
        <v>1100000000</v>
      </c>
      <c r="K38" s="613">
        <f>200000000+900000000</f>
        <v>1100000000</v>
      </c>
      <c r="L38" s="613">
        <f>200000000+900000000</f>
        <v>1100000000</v>
      </c>
      <c r="M38" s="52">
        <f>200000000+900000000</f>
        <v>1100000000</v>
      </c>
      <c r="N38" s="44"/>
      <c r="O38" s="44"/>
      <c r="P38" s="44"/>
      <c r="Q38" s="549"/>
      <c r="R38" s="488"/>
      <c r="T38" s="925"/>
      <c r="U38" s="925"/>
      <c r="V38" s="925"/>
    </row>
    <row r="39" spans="2:22" s="62" customFormat="1" ht="3.75" customHeight="1" x14ac:dyDescent="0.25">
      <c r="B39" s="59"/>
      <c r="C39" s="766"/>
      <c r="D39" s="759"/>
      <c r="E39" s="851"/>
      <c r="F39" s="1611"/>
      <c r="G39" s="1612"/>
      <c r="H39" s="846"/>
      <c r="I39" s="847"/>
      <c r="J39" s="611"/>
      <c r="K39" s="611"/>
      <c r="L39" s="611"/>
      <c r="M39" s="43"/>
      <c r="N39" s="44"/>
      <c r="O39" s="44"/>
      <c r="P39" s="44"/>
      <c r="Q39" s="852"/>
      <c r="R39" s="488"/>
      <c r="T39" s="731"/>
      <c r="U39" s="731"/>
      <c r="V39" s="731"/>
    </row>
    <row r="40" spans="2:22" s="15" customFormat="1" ht="23.25" customHeight="1" x14ac:dyDescent="0.25">
      <c r="B40" s="13"/>
      <c r="C40" s="34" t="s">
        <v>435</v>
      </c>
      <c r="D40" s="1599" t="s">
        <v>59</v>
      </c>
      <c r="E40" s="1600"/>
      <c r="F40" s="1600"/>
      <c r="G40" s="1601"/>
      <c r="H40" s="35" t="s">
        <v>60</v>
      </c>
      <c r="I40" s="36"/>
      <c r="J40" s="610">
        <f>SUM(J41)</f>
        <v>329692000</v>
      </c>
      <c r="K40" s="610">
        <f>SUM(K41)</f>
        <v>329692000</v>
      </c>
      <c r="L40" s="610">
        <f>SUM(L41)</f>
        <v>329692000</v>
      </c>
      <c r="M40" s="37">
        <f>SUM(M41)</f>
        <v>329692000</v>
      </c>
      <c r="N40" s="991"/>
      <c r="O40" s="991"/>
      <c r="P40" s="38"/>
      <c r="Q40" s="547"/>
      <c r="R40" s="487"/>
      <c r="T40" s="21"/>
      <c r="U40" s="21"/>
      <c r="V40" s="21"/>
    </row>
    <row r="41" spans="2:22" s="29" customFormat="1" ht="19.5" customHeight="1" x14ac:dyDescent="0.25">
      <c r="B41" s="13"/>
      <c r="C41" s="76"/>
      <c r="D41" s="77" t="s">
        <v>5</v>
      </c>
      <c r="E41" s="1602" t="s">
        <v>61</v>
      </c>
      <c r="F41" s="1603"/>
      <c r="G41" s="1604"/>
      <c r="H41" s="50" t="s">
        <v>62</v>
      </c>
      <c r="I41" s="51">
        <v>1</v>
      </c>
      <c r="J41" s="613">
        <f>347700000-18008000</f>
        <v>329692000</v>
      </c>
      <c r="K41" s="613">
        <f>347700000-18008000</f>
        <v>329692000</v>
      </c>
      <c r="L41" s="613">
        <f>347700000-18008000</f>
        <v>329692000</v>
      </c>
      <c r="M41" s="52">
        <f>347700000-18008000</f>
        <v>329692000</v>
      </c>
      <c r="N41" s="44"/>
      <c r="O41" s="44"/>
      <c r="P41" s="44"/>
      <c r="Q41" s="545"/>
      <c r="R41" s="488"/>
      <c r="T41" s="396"/>
      <c r="U41" s="396"/>
      <c r="V41" s="396"/>
    </row>
    <row r="42" spans="2:22" s="29" customFormat="1" ht="3.75" customHeight="1" x14ac:dyDescent="0.25">
      <c r="B42" s="13"/>
      <c r="C42" s="91"/>
      <c r="D42" s="92"/>
      <c r="E42" s="1613"/>
      <c r="F42" s="1614"/>
      <c r="G42" s="1615"/>
      <c r="H42" s="93"/>
      <c r="I42" s="470"/>
      <c r="J42" s="619"/>
      <c r="K42" s="619"/>
      <c r="L42" s="619"/>
      <c r="M42" s="94"/>
      <c r="N42" s="992"/>
      <c r="O42" s="992"/>
      <c r="P42" s="44"/>
      <c r="Q42" s="548"/>
      <c r="R42" s="488"/>
      <c r="T42" s="396"/>
      <c r="U42" s="396"/>
      <c r="V42" s="396"/>
    </row>
    <row r="43" spans="2:22" s="15" customFormat="1" ht="22.5" customHeight="1" x14ac:dyDescent="0.25">
      <c r="B43" s="13"/>
      <c r="C43" s="34" t="s">
        <v>436</v>
      </c>
      <c r="D43" s="1599" t="s">
        <v>63</v>
      </c>
      <c r="E43" s="1600"/>
      <c r="F43" s="1600"/>
      <c r="G43" s="1601"/>
      <c r="H43" s="35" t="s">
        <v>64</v>
      </c>
      <c r="I43" s="36"/>
      <c r="J43" s="610">
        <f>J44</f>
        <v>250000000</v>
      </c>
      <c r="K43" s="610">
        <f>K44</f>
        <v>250000000</v>
      </c>
      <c r="L43" s="610">
        <f>L44</f>
        <v>250000000</v>
      </c>
      <c r="M43" s="37">
        <f>M44</f>
        <v>250000000</v>
      </c>
      <c r="N43" s="991"/>
      <c r="O43" s="991"/>
      <c r="P43" s="38"/>
      <c r="Q43" s="547"/>
      <c r="R43" s="487"/>
      <c r="T43" s="21"/>
      <c r="U43" s="21"/>
      <c r="V43" s="21"/>
    </row>
    <row r="44" spans="2:22" s="82" customFormat="1" ht="24" customHeight="1" x14ac:dyDescent="0.25">
      <c r="B44" s="59"/>
      <c r="C44" s="78"/>
      <c r="D44" s="79" t="s">
        <v>5</v>
      </c>
      <c r="E44" s="1593" t="s">
        <v>65</v>
      </c>
      <c r="F44" s="1594"/>
      <c r="G44" s="1595"/>
      <c r="H44" s="1166" t="s">
        <v>66</v>
      </c>
      <c r="I44" s="81">
        <v>1</v>
      </c>
      <c r="J44" s="613">
        <f>300000000-50000000</f>
        <v>250000000</v>
      </c>
      <c r="K44" s="613">
        <f>300000000-50000000</f>
        <v>250000000</v>
      </c>
      <c r="L44" s="613">
        <f>300000000-50000000</f>
        <v>250000000</v>
      </c>
      <c r="M44" s="52">
        <f>300000000-50000000</f>
        <v>250000000</v>
      </c>
      <c r="N44" s="44"/>
      <c r="O44" s="44"/>
      <c r="P44" s="44"/>
      <c r="Q44" s="549"/>
      <c r="R44" s="488"/>
      <c r="T44" s="155"/>
      <c r="U44" s="155"/>
      <c r="V44" s="155"/>
    </row>
    <row r="45" spans="2:22" s="15" customFormat="1" ht="3" customHeight="1" x14ac:dyDescent="0.25">
      <c r="B45" s="13"/>
      <c r="C45" s="83"/>
      <c r="D45" s="84"/>
      <c r="E45" s="1596"/>
      <c r="F45" s="1597"/>
      <c r="G45" s="1598"/>
      <c r="H45" s="41"/>
      <c r="I45" s="57"/>
      <c r="J45" s="614"/>
      <c r="K45" s="614"/>
      <c r="L45" s="614"/>
      <c r="M45" s="58"/>
      <c r="N45" s="992"/>
      <c r="O45" s="992"/>
      <c r="P45" s="44"/>
      <c r="Q45" s="546"/>
      <c r="R45" s="488"/>
      <c r="T45" s="21"/>
      <c r="U45" s="21"/>
      <c r="V45" s="21"/>
    </row>
    <row r="46" spans="2:22" s="15" customFormat="1" ht="33" customHeight="1" x14ac:dyDescent="0.25">
      <c r="B46" s="13"/>
      <c r="C46" s="34" t="s">
        <v>437</v>
      </c>
      <c r="D46" s="1599" t="s">
        <v>67</v>
      </c>
      <c r="E46" s="1600"/>
      <c r="F46" s="1600"/>
      <c r="G46" s="1601"/>
      <c r="H46" s="35" t="s">
        <v>68</v>
      </c>
      <c r="I46" s="36"/>
      <c r="J46" s="610">
        <f>SUM(J47:J50)</f>
        <v>1472000000</v>
      </c>
      <c r="K46" s="610">
        <f>SUM(K47:K50)</f>
        <v>1472000000</v>
      </c>
      <c r="L46" s="610">
        <f>SUM(L47:L50)</f>
        <v>1472000000</v>
      </c>
      <c r="M46" s="37">
        <f>SUM(M47:M50)</f>
        <v>1422000000</v>
      </c>
      <c r="N46" s="991"/>
      <c r="O46" s="991"/>
      <c r="P46" s="38"/>
      <c r="Q46" s="547"/>
      <c r="R46" s="487"/>
      <c r="T46" s="21"/>
      <c r="U46" s="21"/>
      <c r="V46" s="21"/>
    </row>
    <row r="47" spans="2:22" s="29" customFormat="1" ht="17.25" customHeight="1" x14ac:dyDescent="0.25">
      <c r="B47" s="13"/>
      <c r="C47" s="54"/>
      <c r="D47" s="55" t="s">
        <v>5</v>
      </c>
      <c r="E47" s="1602" t="s">
        <v>69</v>
      </c>
      <c r="F47" s="1603"/>
      <c r="G47" s="1604"/>
      <c r="H47" s="41" t="s">
        <v>466</v>
      </c>
      <c r="I47" s="85">
        <v>1</v>
      </c>
      <c r="J47" s="611">
        <v>300000000</v>
      </c>
      <c r="K47" s="611">
        <f>300000000</f>
        <v>300000000</v>
      </c>
      <c r="L47" s="611">
        <v>300000000</v>
      </c>
      <c r="M47" s="43">
        <f>300000000-50000000</f>
        <v>250000000</v>
      </c>
      <c r="N47" s="992"/>
      <c r="O47" s="992"/>
      <c r="P47" s="44"/>
      <c r="Q47" s="550"/>
      <c r="R47" s="488"/>
      <c r="T47" s="396"/>
      <c r="U47" s="396"/>
      <c r="V47" s="396"/>
    </row>
    <row r="48" spans="2:22" s="29" customFormat="1" ht="17.25" customHeight="1" x14ac:dyDescent="0.25">
      <c r="B48" s="13"/>
      <c r="C48" s="54"/>
      <c r="D48" s="55" t="s">
        <v>10</v>
      </c>
      <c r="E48" s="1584" t="s">
        <v>70</v>
      </c>
      <c r="F48" s="1585"/>
      <c r="G48" s="1586"/>
      <c r="H48" s="46" t="s">
        <v>71</v>
      </c>
      <c r="I48" s="42">
        <v>1</v>
      </c>
      <c r="J48" s="620">
        <v>350000000</v>
      </c>
      <c r="K48" s="620">
        <v>350000000</v>
      </c>
      <c r="L48" s="620">
        <v>350000000</v>
      </c>
      <c r="M48" s="86">
        <v>350000000</v>
      </c>
      <c r="N48" s="992"/>
      <c r="O48" s="992"/>
      <c r="P48" s="44"/>
      <c r="Q48" s="551"/>
      <c r="R48" s="488"/>
      <c r="T48" s="396"/>
      <c r="U48" s="396"/>
      <c r="V48" s="396"/>
    </row>
    <row r="49" spans="2:22" s="29" customFormat="1" ht="17.25" customHeight="1" x14ac:dyDescent="0.25">
      <c r="B49" s="13"/>
      <c r="C49" s="87"/>
      <c r="D49" s="88" t="s">
        <v>13</v>
      </c>
      <c r="E49" s="1605" t="s">
        <v>72</v>
      </c>
      <c r="F49" s="1606"/>
      <c r="G49" s="1607"/>
      <c r="H49" s="46" t="s">
        <v>73</v>
      </c>
      <c r="I49" s="42">
        <v>1</v>
      </c>
      <c r="J49" s="612">
        <f>722000000</f>
        <v>722000000</v>
      </c>
      <c r="K49" s="612">
        <f>722000000</f>
        <v>722000000</v>
      </c>
      <c r="L49" s="612">
        <f>722000000</f>
        <v>722000000</v>
      </c>
      <c r="M49" s="47">
        <f>722000000</f>
        <v>722000000</v>
      </c>
      <c r="N49" s="44"/>
      <c r="O49" s="44"/>
      <c r="P49" s="44"/>
      <c r="Q49" s="551"/>
      <c r="R49" s="488"/>
      <c r="T49" s="396"/>
      <c r="U49" s="396"/>
      <c r="V49" s="396"/>
    </row>
    <row r="50" spans="2:22" s="29" customFormat="1" ht="20.25" customHeight="1" x14ac:dyDescent="0.25">
      <c r="B50" s="13"/>
      <c r="C50" s="76"/>
      <c r="D50" s="89" t="s">
        <v>16</v>
      </c>
      <c r="E50" s="1584" t="s">
        <v>74</v>
      </c>
      <c r="F50" s="1585"/>
      <c r="G50" s="1586"/>
      <c r="H50" s="1167" t="s">
        <v>467</v>
      </c>
      <c r="I50" s="51">
        <v>1</v>
      </c>
      <c r="J50" s="621">
        <v>100000000</v>
      </c>
      <c r="K50" s="621">
        <v>100000000</v>
      </c>
      <c r="L50" s="621">
        <v>100000000</v>
      </c>
      <c r="M50" s="90">
        <v>100000000</v>
      </c>
      <c r="N50" s="992"/>
      <c r="O50" s="992"/>
      <c r="P50" s="44"/>
      <c r="Q50" s="545"/>
      <c r="R50" s="488"/>
      <c r="T50" s="396"/>
      <c r="U50" s="396"/>
      <c r="V50" s="396"/>
    </row>
    <row r="51" spans="2:22" ht="3.75" customHeight="1" x14ac:dyDescent="0.25">
      <c r="C51" s="95"/>
      <c r="D51" s="96"/>
      <c r="E51" s="1121"/>
      <c r="F51" s="97"/>
      <c r="G51" s="1122"/>
      <c r="H51" s="98"/>
      <c r="I51" s="99"/>
      <c r="J51" s="622"/>
      <c r="K51" s="622"/>
      <c r="L51" s="622"/>
      <c r="M51" s="100"/>
      <c r="N51" s="993"/>
      <c r="O51" s="993"/>
      <c r="P51" s="101"/>
      <c r="Q51" s="552"/>
      <c r="R51" s="491"/>
    </row>
    <row r="52" spans="2:22" s="15" customFormat="1" ht="30" customHeight="1" x14ac:dyDescent="0.25">
      <c r="B52" s="13"/>
      <c r="C52" s="102"/>
      <c r="D52" s="1587" t="s">
        <v>75</v>
      </c>
      <c r="E52" s="1588"/>
      <c r="F52" s="1588"/>
      <c r="G52" s="1588"/>
      <c r="H52" s="1588"/>
      <c r="I52" s="1589"/>
      <c r="J52" s="623">
        <f>J53+J143+J169+J174+J182+J223+J227+J231+J238+J254+J260</f>
        <v>312375410542</v>
      </c>
      <c r="K52" s="623">
        <f>K53+K143+K169+K174+K182+K223+K227+K231+K238+K254+K260</f>
        <v>333875410542</v>
      </c>
      <c r="L52" s="623">
        <f>L53+L143+L169+L174+L182+L223+L227+L231+L238+L254+L260</f>
        <v>312375410542</v>
      </c>
      <c r="M52" s="103">
        <f>M53+M143+M169+M174+M182+M223+M227+M231+M238+M254+M260</f>
        <v>436937410542</v>
      </c>
      <c r="N52" s="994"/>
      <c r="O52" s="994"/>
      <c r="P52" s="104"/>
      <c r="Q52" s="593"/>
      <c r="R52" s="14"/>
      <c r="T52" s="21"/>
      <c r="U52" s="21"/>
      <c r="V52" s="21"/>
    </row>
    <row r="53" spans="2:22" s="15" customFormat="1" ht="32.25" customHeight="1" x14ac:dyDescent="0.25">
      <c r="B53" s="13"/>
      <c r="C53" s="1506" t="s">
        <v>438</v>
      </c>
      <c r="D53" s="1507"/>
      <c r="E53" s="1590" t="s">
        <v>76</v>
      </c>
      <c r="F53" s="1591"/>
      <c r="G53" s="1592"/>
      <c r="H53" s="105" t="s">
        <v>77</v>
      </c>
      <c r="I53" s="106"/>
      <c r="J53" s="624">
        <f>J54+J55+J59+J63+J66+J67+J68+J69+J91+J93+J97+J102+J112+J115+J120+J126+J128+J130+J132+J137</f>
        <v>175815000000</v>
      </c>
      <c r="K53" s="624">
        <f>K54+K55+K59+K63+K66+K67+K68+K69+K91+K93+K97+K102+K112+K115+K120+K126+K128+K130+K132+K137</f>
        <v>197315000000</v>
      </c>
      <c r="L53" s="624">
        <f>L54+L55+L59+L63+L66+L67+L68+L69+L91+L93+L97+L102+L112+L115+L120+L126+L128+L130+L132+L137</f>
        <v>179015000000</v>
      </c>
      <c r="M53" s="107">
        <f>M54+M55+M59+M63+M66+M67+M68+M69+M91+M93+M97+M102+M112+M115+M120+M126+M128+M130+M132+M137+M76</f>
        <v>215035487571</v>
      </c>
      <c r="N53" s="995"/>
      <c r="O53" s="995"/>
      <c r="P53" s="108"/>
      <c r="Q53" s="515"/>
      <c r="R53" s="108"/>
      <c r="S53" s="16">
        <v>1100000000</v>
      </c>
      <c r="T53" s="21">
        <v>172915000000</v>
      </c>
      <c r="U53" s="21"/>
      <c r="V53" s="21"/>
    </row>
    <row r="54" spans="2:22" s="113" customFormat="1" ht="25.5" customHeight="1" x14ac:dyDescent="0.25">
      <c r="B54" s="59"/>
      <c r="C54" s="114"/>
      <c r="D54" s="447"/>
      <c r="E54" s="88" t="s">
        <v>5</v>
      </c>
      <c r="F54" s="1579" t="s">
        <v>78</v>
      </c>
      <c r="G54" s="1580"/>
      <c r="H54" s="1168" t="s">
        <v>79</v>
      </c>
      <c r="I54" s="110">
        <v>1</v>
      </c>
      <c r="J54" s="625">
        <f>550000000+200000000</f>
        <v>750000000</v>
      </c>
      <c r="K54" s="625">
        <f>550000000+200000000</f>
        <v>750000000</v>
      </c>
      <c r="L54" s="625">
        <f>550000000+200000000</f>
        <v>750000000</v>
      </c>
      <c r="M54" s="111">
        <f>550000000+200000000+50000000</f>
        <v>800000000</v>
      </c>
      <c r="N54" s="112"/>
      <c r="O54" s="112"/>
      <c r="P54" s="112"/>
      <c r="Q54" s="553"/>
      <c r="R54" s="112"/>
      <c r="T54" s="926"/>
      <c r="U54" s="926"/>
      <c r="V54" s="926"/>
    </row>
    <row r="55" spans="2:22" s="113" customFormat="1" ht="19.5" customHeight="1" x14ac:dyDescent="0.25">
      <c r="B55" s="59"/>
      <c r="C55" s="39"/>
      <c r="D55" s="109"/>
      <c r="E55" s="450" t="s">
        <v>10</v>
      </c>
      <c r="F55" s="1577" t="s">
        <v>80</v>
      </c>
      <c r="G55" s="1578"/>
      <c r="H55" s="173" t="s">
        <v>411</v>
      </c>
      <c r="I55" s="445" t="s">
        <v>535</v>
      </c>
      <c r="J55" s="626">
        <f>SUM(J56:J58)</f>
        <v>850000000</v>
      </c>
      <c r="K55" s="626">
        <f t="shared" ref="K55:M55" si="0">SUM(K56:K58)</f>
        <v>1350000000</v>
      </c>
      <c r="L55" s="626">
        <f t="shared" si="0"/>
        <v>850000000</v>
      </c>
      <c r="M55" s="117">
        <f t="shared" si="0"/>
        <v>1350000000</v>
      </c>
      <c r="N55" s="118"/>
      <c r="O55" s="118"/>
      <c r="P55" s="118"/>
      <c r="Q55" s="554"/>
      <c r="R55" s="118"/>
      <c r="T55" s="926"/>
      <c r="U55" s="926"/>
      <c r="V55" s="926"/>
    </row>
    <row r="56" spans="2:22" s="113" customFormat="1" x14ac:dyDescent="0.25">
      <c r="B56" s="59"/>
      <c r="C56" s="119"/>
      <c r="D56" s="120"/>
      <c r="E56" s="121"/>
      <c r="F56" s="122" t="s">
        <v>46</v>
      </c>
      <c r="G56" s="123" t="s">
        <v>81</v>
      </c>
      <c r="H56" s="601"/>
      <c r="I56" s="124" t="s">
        <v>86</v>
      </c>
      <c r="J56" s="627">
        <v>500000000</v>
      </c>
      <c r="K56" s="627">
        <v>500000000</v>
      </c>
      <c r="L56" s="627">
        <v>500000000</v>
      </c>
      <c r="M56" s="125">
        <v>500000000</v>
      </c>
      <c r="N56" s="126"/>
      <c r="O56" s="126"/>
      <c r="P56" s="126"/>
      <c r="Q56" s="555"/>
      <c r="R56" s="126"/>
      <c r="T56" s="926"/>
      <c r="U56" s="926"/>
      <c r="V56" s="926"/>
    </row>
    <row r="57" spans="2:22" s="113" customFormat="1" x14ac:dyDescent="0.25">
      <c r="B57" s="59"/>
      <c r="C57" s="119"/>
      <c r="D57" s="120"/>
      <c r="E57" s="121"/>
      <c r="F57" s="122" t="s">
        <v>46</v>
      </c>
      <c r="G57" s="123" t="s">
        <v>82</v>
      </c>
      <c r="H57" s="601"/>
      <c r="I57" s="124" t="s">
        <v>86</v>
      </c>
      <c r="J57" s="627">
        <v>350000000</v>
      </c>
      <c r="K57" s="627">
        <v>350000000</v>
      </c>
      <c r="L57" s="627">
        <v>350000000</v>
      </c>
      <c r="M57" s="125">
        <v>350000000</v>
      </c>
      <c r="N57" s="126"/>
      <c r="O57" s="126"/>
      <c r="P57" s="126"/>
      <c r="Q57" s="555"/>
      <c r="R57" s="126"/>
      <c r="T57" s="926"/>
      <c r="U57" s="926"/>
      <c r="V57" s="926"/>
    </row>
    <row r="58" spans="2:22" s="113" customFormat="1" x14ac:dyDescent="0.25">
      <c r="B58" s="59"/>
      <c r="C58" s="119"/>
      <c r="D58" s="120"/>
      <c r="E58" s="121"/>
      <c r="F58" s="122" t="s">
        <v>46</v>
      </c>
      <c r="G58" s="1124" t="s">
        <v>518</v>
      </c>
      <c r="H58" s="601"/>
      <c r="I58" s="124" t="s">
        <v>86</v>
      </c>
      <c r="J58" s="627">
        <v>0</v>
      </c>
      <c r="K58" s="1138">
        <f>500000000</f>
        <v>500000000</v>
      </c>
      <c r="L58" s="627">
        <v>0</v>
      </c>
      <c r="M58" s="125">
        <v>500000000</v>
      </c>
      <c r="N58" s="126"/>
      <c r="O58" s="126"/>
      <c r="P58" s="126"/>
      <c r="Q58" s="555"/>
      <c r="R58" s="126"/>
      <c r="T58" s="926"/>
      <c r="U58" s="926"/>
      <c r="V58" s="926"/>
    </row>
    <row r="59" spans="2:22" s="113" customFormat="1" ht="21" customHeight="1" x14ac:dyDescent="0.25">
      <c r="B59" s="59"/>
      <c r="C59" s="39"/>
      <c r="D59" s="109"/>
      <c r="E59" s="449" t="s">
        <v>13</v>
      </c>
      <c r="F59" s="1581" t="s">
        <v>83</v>
      </c>
      <c r="G59" s="1581"/>
      <c r="H59" s="469" t="s">
        <v>412</v>
      </c>
      <c r="I59" s="444" t="s">
        <v>430</v>
      </c>
      <c r="J59" s="626">
        <f>SUM(J60:J61)</f>
        <v>400000000</v>
      </c>
      <c r="K59" s="626">
        <f>SUM(K60:K61)</f>
        <v>400000000</v>
      </c>
      <c r="L59" s="626">
        <f>SUM(L60:L61)</f>
        <v>400000000</v>
      </c>
      <c r="M59" s="117">
        <f>SUM(M60:M61)</f>
        <v>400000000</v>
      </c>
      <c r="N59" s="118"/>
      <c r="O59" s="118"/>
      <c r="P59" s="118"/>
      <c r="Q59" s="556"/>
      <c r="R59" s="118"/>
      <c r="T59" s="926"/>
      <c r="U59" s="926"/>
      <c r="V59" s="926"/>
    </row>
    <row r="60" spans="2:22" s="113" customFormat="1" x14ac:dyDescent="0.25">
      <c r="B60" s="59"/>
      <c r="C60" s="127"/>
      <c r="D60" s="128"/>
      <c r="E60" s="129"/>
      <c r="F60" s="130" t="s">
        <v>46</v>
      </c>
      <c r="G60" s="131" t="s">
        <v>84</v>
      </c>
      <c r="H60" s="602"/>
      <c r="I60" s="116" t="s">
        <v>86</v>
      </c>
      <c r="J60" s="627">
        <v>200000000</v>
      </c>
      <c r="K60" s="627">
        <v>200000000</v>
      </c>
      <c r="L60" s="627">
        <v>200000000</v>
      </c>
      <c r="M60" s="125">
        <v>200000000</v>
      </c>
      <c r="N60" s="126"/>
      <c r="O60" s="126"/>
      <c r="P60" s="126"/>
      <c r="Q60" s="557"/>
      <c r="R60" s="126"/>
      <c r="T60" s="926"/>
      <c r="U60" s="926"/>
      <c r="V60" s="926"/>
    </row>
    <row r="61" spans="2:22" s="113" customFormat="1" ht="14.25" customHeight="1" x14ac:dyDescent="0.25">
      <c r="B61" s="59"/>
      <c r="C61" s="119"/>
      <c r="D61" s="120"/>
      <c r="E61" s="121"/>
      <c r="F61" s="122" t="s">
        <v>46</v>
      </c>
      <c r="G61" s="123" t="s">
        <v>85</v>
      </c>
      <c r="H61" s="601"/>
      <c r="I61" s="124" t="s">
        <v>86</v>
      </c>
      <c r="J61" s="627">
        <v>200000000</v>
      </c>
      <c r="K61" s="627">
        <v>200000000</v>
      </c>
      <c r="L61" s="627">
        <v>200000000</v>
      </c>
      <c r="M61" s="125">
        <v>200000000</v>
      </c>
      <c r="N61" s="126"/>
      <c r="O61" s="126"/>
      <c r="P61" s="126"/>
      <c r="Q61" s="555"/>
      <c r="R61" s="126"/>
      <c r="T61" s="926"/>
      <c r="U61" s="926"/>
      <c r="V61" s="926"/>
    </row>
    <row r="62" spans="2:22" s="82" customFormat="1" ht="20.25" hidden="1" customHeight="1" x14ac:dyDescent="0.25">
      <c r="B62" s="59"/>
      <c r="C62" s="39"/>
      <c r="D62" s="109"/>
      <c r="E62" s="88" t="s">
        <v>16</v>
      </c>
      <c r="F62" s="1582" t="s">
        <v>87</v>
      </c>
      <c r="G62" s="1583"/>
      <c r="H62" s="1123" t="s">
        <v>413</v>
      </c>
      <c r="I62" s="134">
        <v>1</v>
      </c>
      <c r="J62" s="628">
        <v>0</v>
      </c>
      <c r="K62" s="628">
        <v>0</v>
      </c>
      <c r="L62" s="628">
        <v>0</v>
      </c>
      <c r="M62" s="135">
        <v>0</v>
      </c>
      <c r="N62" s="108"/>
      <c r="O62" s="108"/>
      <c r="P62" s="108"/>
      <c r="Q62" s="558"/>
      <c r="R62" s="108"/>
      <c r="S62" s="136"/>
      <c r="T62" s="155"/>
      <c r="U62" s="155"/>
      <c r="V62" s="155"/>
    </row>
    <row r="63" spans="2:22" s="82" customFormat="1" ht="29.25" customHeight="1" x14ac:dyDescent="0.25">
      <c r="B63" s="59"/>
      <c r="C63" s="39"/>
      <c r="D63" s="109"/>
      <c r="E63" s="88" t="s">
        <v>19</v>
      </c>
      <c r="F63" s="1582" t="s">
        <v>88</v>
      </c>
      <c r="G63" s="1583"/>
      <c r="H63" s="469" t="s">
        <v>414</v>
      </c>
      <c r="I63" s="443" t="s">
        <v>430</v>
      </c>
      <c r="J63" s="626">
        <f>SUM(J64:J65)</f>
        <v>900000000</v>
      </c>
      <c r="K63" s="626">
        <f>SUM(K64:K65)</f>
        <v>900000000</v>
      </c>
      <c r="L63" s="626">
        <f>SUM(L64:L65)</f>
        <v>900000000</v>
      </c>
      <c r="M63" s="117">
        <f>SUM(M64:M65)</f>
        <v>900000000</v>
      </c>
      <c r="N63" s="118"/>
      <c r="O63" s="118"/>
      <c r="P63" s="118"/>
      <c r="Q63" s="559"/>
      <c r="R63" s="118"/>
      <c r="T63" s="155"/>
      <c r="U63" s="155"/>
      <c r="V63" s="155"/>
    </row>
    <row r="64" spans="2:22" s="113" customFormat="1" ht="15.75" customHeight="1" x14ac:dyDescent="0.25">
      <c r="B64" s="59"/>
      <c r="C64" s="119"/>
      <c r="D64" s="120"/>
      <c r="E64" s="121"/>
      <c r="F64" s="122" t="s">
        <v>46</v>
      </c>
      <c r="G64" s="138" t="s">
        <v>392</v>
      </c>
      <c r="H64" s="601"/>
      <c r="I64" s="137" t="s">
        <v>86</v>
      </c>
      <c r="J64" s="627">
        <v>600000000</v>
      </c>
      <c r="K64" s="627">
        <v>600000000</v>
      </c>
      <c r="L64" s="627">
        <v>600000000</v>
      </c>
      <c r="M64" s="125">
        <v>600000000</v>
      </c>
      <c r="N64" s="126"/>
      <c r="O64" s="126"/>
      <c r="P64" s="126"/>
      <c r="Q64" s="560"/>
      <c r="R64" s="126"/>
      <c r="T64" s="926"/>
      <c r="U64" s="926"/>
      <c r="V64" s="926"/>
    </row>
    <row r="65" spans="2:22" s="113" customFormat="1" ht="16.5" customHeight="1" x14ac:dyDescent="0.25">
      <c r="B65" s="59"/>
      <c r="C65" s="119"/>
      <c r="D65" s="120"/>
      <c r="E65" s="121"/>
      <c r="F65" s="122" t="s">
        <v>46</v>
      </c>
      <c r="G65" s="1169" t="s">
        <v>89</v>
      </c>
      <c r="H65" s="601"/>
      <c r="I65" s="137" t="s">
        <v>86</v>
      </c>
      <c r="J65" s="627">
        <v>300000000</v>
      </c>
      <c r="K65" s="627">
        <v>300000000</v>
      </c>
      <c r="L65" s="627">
        <v>300000000</v>
      </c>
      <c r="M65" s="125">
        <v>300000000</v>
      </c>
      <c r="N65" s="126"/>
      <c r="O65" s="126"/>
      <c r="P65" s="126"/>
      <c r="Q65" s="519"/>
      <c r="R65" s="126"/>
      <c r="T65" s="926"/>
      <c r="U65" s="926"/>
      <c r="V65" s="926"/>
    </row>
    <row r="66" spans="2:22" s="29" customFormat="1" ht="19.5" customHeight="1" x14ac:dyDescent="0.25">
      <c r="B66" s="13"/>
      <c r="C66" s="39"/>
      <c r="D66" s="140"/>
      <c r="E66" s="109" t="s">
        <v>27</v>
      </c>
      <c r="F66" s="1533" t="s">
        <v>90</v>
      </c>
      <c r="G66" s="1534"/>
      <c r="H66" s="172" t="s">
        <v>91</v>
      </c>
      <c r="I66" s="142" t="s">
        <v>92</v>
      </c>
      <c r="J66" s="629">
        <f>100000000</f>
        <v>100000000</v>
      </c>
      <c r="K66" s="629">
        <f>100000000</f>
        <v>100000000</v>
      </c>
      <c r="L66" s="629">
        <f>100000000</f>
        <v>100000000</v>
      </c>
      <c r="M66" s="143">
        <f>100000000</f>
        <v>100000000</v>
      </c>
      <c r="N66" s="144"/>
      <c r="O66" s="144"/>
      <c r="P66" s="144"/>
      <c r="Q66" s="520"/>
      <c r="R66" s="492"/>
      <c r="T66" s="396"/>
      <c r="U66" s="396"/>
      <c r="V66" s="396"/>
    </row>
    <row r="67" spans="2:22" s="62" customFormat="1" ht="19.5" customHeight="1" x14ac:dyDescent="0.25">
      <c r="B67" s="59"/>
      <c r="C67" s="39"/>
      <c r="D67" s="109"/>
      <c r="E67" s="88" t="s">
        <v>30</v>
      </c>
      <c r="F67" s="1582" t="s">
        <v>93</v>
      </c>
      <c r="G67" s="1583"/>
      <c r="H67" s="1123" t="s">
        <v>94</v>
      </c>
      <c r="I67" s="442" t="s">
        <v>481</v>
      </c>
      <c r="J67" s="630">
        <f>7200000000+4000000000</f>
        <v>11200000000</v>
      </c>
      <c r="K67" s="630">
        <f>7200000000+4000000000</f>
        <v>11200000000</v>
      </c>
      <c r="L67" s="630">
        <f>7200000000+4000000000</f>
        <v>11200000000</v>
      </c>
      <c r="M67" s="146">
        <f>7200000000+4000000000</f>
        <v>11200000000</v>
      </c>
      <c r="N67" s="147"/>
      <c r="O67" s="147"/>
      <c r="P67" s="147"/>
      <c r="Q67" s="521"/>
      <c r="R67" s="118"/>
      <c r="S67" s="148"/>
      <c r="T67" s="731"/>
      <c r="U67" s="731">
        <f>T67/800000</f>
        <v>0</v>
      </c>
      <c r="V67" s="731"/>
    </row>
    <row r="68" spans="2:22" s="113" customFormat="1" ht="19.5" customHeight="1" x14ac:dyDescent="0.25">
      <c r="B68" s="59"/>
      <c r="C68" s="39"/>
      <c r="D68" s="109"/>
      <c r="E68" s="88" t="s">
        <v>8</v>
      </c>
      <c r="F68" s="1582" t="s">
        <v>95</v>
      </c>
      <c r="G68" s="1583"/>
      <c r="H68" s="469" t="s">
        <v>96</v>
      </c>
      <c r="I68" s="110" t="s">
        <v>429</v>
      </c>
      <c r="J68" s="631">
        <f>16100000000-10000000000+200000000</f>
        <v>6300000000</v>
      </c>
      <c r="K68" s="631">
        <f>16100000000-10000000000+200000000</f>
        <v>6300000000</v>
      </c>
      <c r="L68" s="631">
        <f>16100000000-10000000000+200000000</f>
        <v>6300000000</v>
      </c>
      <c r="M68" s="149">
        <f>16100000000-10000000000+200000000</f>
        <v>6300000000</v>
      </c>
      <c r="N68" s="150"/>
      <c r="O68" s="150"/>
      <c r="P68" s="150"/>
      <c r="Q68" s="516"/>
      <c r="R68" s="112"/>
      <c r="T68" s="926"/>
      <c r="U68" s="926"/>
      <c r="V68" s="926"/>
    </row>
    <row r="69" spans="2:22" s="82" customFormat="1" ht="19.5" customHeight="1" x14ac:dyDescent="0.25">
      <c r="B69" s="59"/>
      <c r="C69" s="39"/>
      <c r="D69" s="109"/>
      <c r="E69" s="88" t="s">
        <v>22</v>
      </c>
      <c r="F69" s="1579" t="s">
        <v>97</v>
      </c>
      <c r="G69" s="1580"/>
      <c r="H69" s="152" t="s">
        <v>98</v>
      </c>
      <c r="I69" s="153">
        <v>1</v>
      </c>
      <c r="J69" s="632">
        <f>SUM(J70:J75)</f>
        <v>6600000000</v>
      </c>
      <c r="K69" s="632">
        <f>SUM(K70:K75)</f>
        <v>6600000000</v>
      </c>
      <c r="L69" s="632">
        <f>SUM(L70:L75)</f>
        <v>6600000000</v>
      </c>
      <c r="M69" s="154">
        <f>SUM(M70:M75)</f>
        <v>6600000000</v>
      </c>
      <c r="N69" s="118"/>
      <c r="O69" s="118"/>
      <c r="P69" s="118"/>
      <c r="Q69" s="522"/>
      <c r="R69" s="118"/>
      <c r="T69" s="155"/>
      <c r="U69" s="155"/>
      <c r="V69" s="155"/>
    </row>
    <row r="70" spans="2:22" s="163" customFormat="1" ht="12" customHeight="1" x14ac:dyDescent="0.25">
      <c r="B70" s="59"/>
      <c r="C70" s="119"/>
      <c r="D70" s="156"/>
      <c r="E70" s="157"/>
      <c r="F70" s="158" t="s">
        <v>46</v>
      </c>
      <c r="G70" s="159" t="s">
        <v>99</v>
      </c>
      <c r="H70" s="160"/>
      <c r="I70" s="161"/>
      <c r="J70" s="633">
        <v>1100000000</v>
      </c>
      <c r="K70" s="633">
        <v>1100000000</v>
      </c>
      <c r="L70" s="633">
        <v>1100000000</v>
      </c>
      <c r="M70" s="162">
        <v>1150000000</v>
      </c>
      <c r="N70" s="126"/>
      <c r="O70" s="126"/>
      <c r="P70" s="126"/>
      <c r="Q70" s="523"/>
      <c r="R70" s="126"/>
      <c r="T70" s="1443"/>
      <c r="U70" s="1443"/>
      <c r="V70" s="1443"/>
    </row>
    <row r="71" spans="2:22" s="163" customFormat="1" ht="12" customHeight="1" x14ac:dyDescent="0.25">
      <c r="B71" s="59"/>
      <c r="C71" s="119"/>
      <c r="D71" s="156"/>
      <c r="E71" s="157"/>
      <c r="F71" s="158" t="s">
        <v>46</v>
      </c>
      <c r="G71" s="159" t="s">
        <v>100</v>
      </c>
      <c r="H71" s="160"/>
      <c r="I71" s="161"/>
      <c r="J71" s="633">
        <v>1100000000</v>
      </c>
      <c r="K71" s="633">
        <v>1100000000</v>
      </c>
      <c r="L71" s="633">
        <v>1100000000</v>
      </c>
      <c r="M71" s="162">
        <v>1150000000</v>
      </c>
      <c r="N71" s="126"/>
      <c r="O71" s="126"/>
      <c r="P71" s="126"/>
      <c r="Q71" s="523"/>
      <c r="R71" s="126"/>
      <c r="T71" s="1443">
        <v>172</v>
      </c>
      <c r="U71" s="1443"/>
      <c r="V71" s="1443"/>
    </row>
    <row r="72" spans="2:22" s="163" customFormat="1" ht="12" customHeight="1" x14ac:dyDescent="0.25">
      <c r="B72" s="59"/>
      <c r="C72" s="119"/>
      <c r="D72" s="156"/>
      <c r="E72" s="157"/>
      <c r="F72" s="158" t="s">
        <v>46</v>
      </c>
      <c r="G72" s="159" t="s">
        <v>101</v>
      </c>
      <c r="H72" s="160"/>
      <c r="I72" s="161"/>
      <c r="J72" s="633">
        <v>1100000000</v>
      </c>
      <c r="K72" s="633">
        <v>1100000000</v>
      </c>
      <c r="L72" s="633">
        <v>1100000000</v>
      </c>
      <c r="M72" s="162">
        <v>1150000000</v>
      </c>
      <c r="N72" s="126"/>
      <c r="O72" s="126"/>
      <c r="P72" s="126"/>
      <c r="Q72" s="523"/>
      <c r="R72" s="126"/>
      <c r="T72" s="1443">
        <f>(6.6/T71)*100</f>
        <v>3.8372093023255811</v>
      </c>
      <c r="U72" s="1443"/>
      <c r="V72" s="1443"/>
    </row>
    <row r="73" spans="2:22" s="163" customFormat="1" ht="12" customHeight="1" x14ac:dyDescent="0.25">
      <c r="B73" s="59"/>
      <c r="C73" s="119"/>
      <c r="D73" s="156"/>
      <c r="E73" s="157"/>
      <c r="F73" s="158" t="s">
        <v>46</v>
      </c>
      <c r="G73" s="159" t="s">
        <v>102</v>
      </c>
      <c r="H73" s="160"/>
      <c r="I73" s="161"/>
      <c r="J73" s="633">
        <v>1100000000</v>
      </c>
      <c r="K73" s="633">
        <v>1100000000</v>
      </c>
      <c r="L73" s="633">
        <v>1100000000</v>
      </c>
      <c r="M73" s="162">
        <v>1250000000</v>
      </c>
      <c r="N73" s="126"/>
      <c r="O73" s="126"/>
      <c r="P73" s="126"/>
      <c r="Q73" s="523"/>
      <c r="R73" s="126"/>
      <c r="T73" s="1443"/>
      <c r="U73" s="1443"/>
      <c r="V73" s="1443"/>
    </row>
    <row r="74" spans="2:22" s="163" customFormat="1" ht="12" customHeight="1" x14ac:dyDescent="0.25">
      <c r="B74" s="59"/>
      <c r="C74" s="119"/>
      <c r="D74" s="156"/>
      <c r="E74" s="157"/>
      <c r="F74" s="158" t="s">
        <v>46</v>
      </c>
      <c r="G74" s="159" t="s">
        <v>103</v>
      </c>
      <c r="H74" s="160"/>
      <c r="I74" s="161"/>
      <c r="J74" s="633">
        <v>1100000000</v>
      </c>
      <c r="K74" s="633">
        <v>1100000000</v>
      </c>
      <c r="L74" s="633">
        <v>1100000000</v>
      </c>
      <c r="M74" s="162">
        <v>900000000</v>
      </c>
      <c r="N74" s="126"/>
      <c r="O74" s="126"/>
      <c r="P74" s="126"/>
      <c r="Q74" s="523"/>
      <c r="R74" s="126"/>
      <c r="T74" s="1443"/>
      <c r="U74" s="1443"/>
      <c r="V74" s="1443"/>
    </row>
    <row r="75" spans="2:22" s="163" customFormat="1" ht="12" customHeight="1" x14ac:dyDescent="0.25">
      <c r="B75" s="59"/>
      <c r="C75" s="119"/>
      <c r="D75" s="156"/>
      <c r="E75" s="157"/>
      <c r="F75" s="158" t="s">
        <v>46</v>
      </c>
      <c r="G75" s="159" t="s">
        <v>104</v>
      </c>
      <c r="H75" s="160"/>
      <c r="I75" s="161"/>
      <c r="J75" s="633">
        <v>1100000000</v>
      </c>
      <c r="K75" s="633">
        <v>1100000000</v>
      </c>
      <c r="L75" s="633">
        <v>1100000000</v>
      </c>
      <c r="M75" s="162">
        <v>1000000000</v>
      </c>
      <c r="N75" s="126"/>
      <c r="O75" s="126"/>
      <c r="P75" s="126"/>
      <c r="Q75" s="523"/>
      <c r="R75" s="126"/>
      <c r="T75" s="1443"/>
      <c r="U75" s="1443"/>
      <c r="V75" s="1443"/>
    </row>
    <row r="76" spans="2:22" s="113" customFormat="1" ht="19.5" customHeight="1" x14ac:dyDescent="0.25">
      <c r="B76" s="59"/>
      <c r="C76" s="39"/>
      <c r="D76" s="109"/>
      <c r="E76" s="88" t="s">
        <v>210</v>
      </c>
      <c r="F76" s="1577" t="s">
        <v>105</v>
      </c>
      <c r="G76" s="1578"/>
      <c r="H76" s="165" t="s">
        <v>106</v>
      </c>
      <c r="I76" s="166">
        <v>1</v>
      </c>
      <c r="J76" s="626">
        <v>0</v>
      </c>
      <c r="K76" s="626">
        <v>0</v>
      </c>
      <c r="L76" s="626">
        <v>0</v>
      </c>
      <c r="M76" s="117">
        <f>22362000000+300000000</f>
        <v>22662000000</v>
      </c>
      <c r="N76" s="168"/>
      <c r="O76" s="168"/>
      <c r="P76" s="168"/>
      <c r="Q76" s="524"/>
      <c r="R76" s="168"/>
      <c r="S76" s="113" t="s">
        <v>107</v>
      </c>
      <c r="T76" s="926"/>
      <c r="U76" s="926">
        <v>22362000000</v>
      </c>
      <c r="V76" s="926"/>
    </row>
    <row r="77" spans="2:22" s="113" customFormat="1" ht="15.75" hidden="1" customHeight="1" x14ac:dyDescent="0.25">
      <c r="B77" s="59"/>
      <c r="C77" s="119"/>
      <c r="D77" s="156"/>
      <c r="E77" s="157"/>
      <c r="F77" s="169" t="s">
        <v>46</v>
      </c>
      <c r="G77" s="170" t="s">
        <v>108</v>
      </c>
      <c r="H77" s="171"/>
      <c r="I77" s="116" t="s">
        <v>109</v>
      </c>
      <c r="J77" s="627">
        <v>17500000000</v>
      </c>
      <c r="K77" s="627">
        <v>17500000000</v>
      </c>
      <c r="L77" s="627">
        <v>17500000000</v>
      </c>
      <c r="M77" s="125">
        <v>17500000000</v>
      </c>
      <c r="N77" s="126"/>
      <c r="O77" s="126"/>
      <c r="P77" s="126"/>
      <c r="Q77" s="517"/>
      <c r="R77" s="126"/>
      <c r="T77" s="926"/>
      <c r="U77" s="926"/>
      <c r="V77" s="926"/>
    </row>
    <row r="78" spans="2:22" s="113" customFormat="1" ht="15.75" hidden="1" customHeight="1" x14ac:dyDescent="0.25">
      <c r="B78" s="59"/>
      <c r="C78" s="119"/>
      <c r="D78" s="156"/>
      <c r="E78" s="157"/>
      <c r="F78" s="169" t="s">
        <v>46</v>
      </c>
      <c r="G78" s="170" t="s">
        <v>110</v>
      </c>
      <c r="H78" s="171"/>
      <c r="I78" s="116" t="s">
        <v>111</v>
      </c>
      <c r="J78" s="627">
        <v>7500000000</v>
      </c>
      <c r="K78" s="627">
        <v>7500000000</v>
      </c>
      <c r="L78" s="627">
        <v>7500000000</v>
      </c>
      <c r="M78" s="125">
        <v>7500000000</v>
      </c>
      <c r="N78" s="126"/>
      <c r="O78" s="126"/>
      <c r="P78" s="126"/>
      <c r="Q78" s="517"/>
      <c r="R78" s="126"/>
      <c r="T78" s="926"/>
      <c r="U78" s="926"/>
      <c r="V78" s="926"/>
    </row>
    <row r="79" spans="2:22" s="113" customFormat="1" ht="15.75" hidden="1" customHeight="1" x14ac:dyDescent="0.25">
      <c r="B79" s="59"/>
      <c r="C79" s="119"/>
      <c r="D79" s="156"/>
      <c r="E79" s="157"/>
      <c r="F79" s="169" t="s">
        <v>46</v>
      </c>
      <c r="G79" s="170" t="s">
        <v>112</v>
      </c>
      <c r="H79" s="171"/>
      <c r="I79" s="116" t="s">
        <v>113</v>
      </c>
      <c r="J79" s="627">
        <v>15400000000</v>
      </c>
      <c r="K79" s="627">
        <v>15400000000</v>
      </c>
      <c r="L79" s="627">
        <v>15400000000</v>
      </c>
      <c r="M79" s="125">
        <v>15400000000</v>
      </c>
      <c r="N79" s="126"/>
      <c r="O79" s="126"/>
      <c r="P79" s="126"/>
      <c r="Q79" s="517"/>
      <c r="R79" s="126"/>
      <c r="T79" s="926"/>
      <c r="U79" s="926"/>
      <c r="V79" s="926"/>
    </row>
    <row r="80" spans="2:22" s="113" customFormat="1" ht="15.75" hidden="1" customHeight="1" x14ac:dyDescent="0.25">
      <c r="B80" s="59"/>
      <c r="C80" s="119"/>
      <c r="D80" s="156"/>
      <c r="E80" s="157"/>
      <c r="F80" s="169" t="s">
        <v>46</v>
      </c>
      <c r="G80" s="170" t="s">
        <v>114</v>
      </c>
      <c r="H80" s="171"/>
      <c r="I80" s="116" t="s">
        <v>115</v>
      </c>
      <c r="J80" s="627">
        <v>0</v>
      </c>
      <c r="K80" s="627">
        <v>0</v>
      </c>
      <c r="L80" s="627">
        <v>0</v>
      </c>
      <c r="M80" s="125">
        <v>0</v>
      </c>
      <c r="N80" s="126"/>
      <c r="O80" s="126"/>
      <c r="P80" s="126"/>
      <c r="Q80" s="517"/>
      <c r="R80" s="126"/>
      <c r="T80" s="926"/>
      <c r="U80" s="926"/>
      <c r="V80" s="926"/>
    </row>
    <row r="81" spans="2:22" s="113" customFormat="1" ht="15.75" hidden="1" customHeight="1" x14ac:dyDescent="0.25">
      <c r="B81" s="59"/>
      <c r="C81" s="119"/>
      <c r="D81" s="156"/>
      <c r="E81" s="157"/>
      <c r="F81" s="169" t="s">
        <v>46</v>
      </c>
      <c r="G81" s="170" t="s">
        <v>116</v>
      </c>
      <c r="H81" s="171"/>
      <c r="I81" s="116">
        <v>1</v>
      </c>
      <c r="J81" s="627">
        <v>1000000</v>
      </c>
      <c r="K81" s="627">
        <v>1000000</v>
      </c>
      <c r="L81" s="627">
        <v>1000000</v>
      </c>
      <c r="M81" s="125">
        <v>1000000</v>
      </c>
      <c r="N81" s="126"/>
      <c r="O81" s="126"/>
      <c r="P81" s="126"/>
      <c r="Q81" s="517"/>
      <c r="R81" s="126"/>
      <c r="T81" s="926"/>
      <c r="U81" s="926"/>
      <c r="V81" s="926"/>
    </row>
    <row r="82" spans="2:22" s="113" customFormat="1" ht="15.75" hidden="1" customHeight="1" x14ac:dyDescent="0.25">
      <c r="B82" s="59"/>
      <c r="C82" s="119"/>
      <c r="D82" s="156"/>
      <c r="E82" s="157"/>
      <c r="F82" s="169" t="s">
        <v>46</v>
      </c>
      <c r="G82" s="170" t="s">
        <v>117</v>
      </c>
      <c r="H82" s="171"/>
      <c r="I82" s="116">
        <v>1</v>
      </c>
      <c r="J82" s="627">
        <v>1000000</v>
      </c>
      <c r="K82" s="627">
        <v>1000000</v>
      </c>
      <c r="L82" s="627">
        <v>1000000</v>
      </c>
      <c r="M82" s="125">
        <v>1000000</v>
      </c>
      <c r="N82" s="126"/>
      <c r="O82" s="126"/>
      <c r="P82" s="126"/>
      <c r="Q82" s="517"/>
      <c r="R82" s="126"/>
      <c r="T82" s="926"/>
      <c r="U82" s="926"/>
      <c r="V82" s="926"/>
    </row>
    <row r="83" spans="2:22" s="113" customFormat="1" ht="30.75" hidden="1" customHeight="1" x14ac:dyDescent="0.25">
      <c r="B83" s="59"/>
      <c r="C83" s="119"/>
      <c r="D83" s="156"/>
      <c r="E83" s="157"/>
      <c r="F83" s="169" t="s">
        <v>46</v>
      </c>
      <c r="G83" s="170" t="s">
        <v>118</v>
      </c>
      <c r="H83" s="171"/>
      <c r="I83" s="116">
        <v>1</v>
      </c>
      <c r="J83" s="627">
        <v>1000000</v>
      </c>
      <c r="K83" s="627">
        <v>1000000</v>
      </c>
      <c r="L83" s="627">
        <v>1000000</v>
      </c>
      <c r="M83" s="125">
        <v>1000000</v>
      </c>
      <c r="N83" s="126"/>
      <c r="O83" s="126"/>
      <c r="P83" s="126"/>
      <c r="Q83" s="517"/>
      <c r="R83" s="126"/>
      <c r="T83" s="926"/>
      <c r="U83" s="926"/>
      <c r="V83" s="926"/>
    </row>
    <row r="84" spans="2:22" s="113" customFormat="1" ht="15.75" hidden="1" customHeight="1" x14ac:dyDescent="0.25">
      <c r="B84" s="59"/>
      <c r="C84" s="119"/>
      <c r="D84" s="156"/>
      <c r="E84" s="157"/>
      <c r="F84" s="169" t="s">
        <v>46</v>
      </c>
      <c r="G84" s="170" t="s">
        <v>119</v>
      </c>
      <c r="H84" s="171"/>
      <c r="I84" s="116">
        <v>1</v>
      </c>
      <c r="J84" s="627">
        <v>1000000</v>
      </c>
      <c r="K84" s="627">
        <v>1000000</v>
      </c>
      <c r="L84" s="627">
        <v>1000000</v>
      </c>
      <c r="M84" s="125">
        <v>1000000</v>
      </c>
      <c r="N84" s="126"/>
      <c r="O84" s="126"/>
      <c r="P84" s="126"/>
      <c r="Q84" s="517"/>
      <c r="R84" s="126"/>
      <c r="T84" s="926"/>
      <c r="U84" s="926"/>
      <c r="V84" s="926"/>
    </row>
    <row r="85" spans="2:22" s="113" customFormat="1" ht="15.75" hidden="1" customHeight="1" x14ac:dyDescent="0.25">
      <c r="B85" s="59"/>
      <c r="C85" s="119"/>
      <c r="D85" s="156"/>
      <c r="E85" s="157"/>
      <c r="F85" s="169" t="s">
        <v>46</v>
      </c>
      <c r="G85" s="170" t="s">
        <v>120</v>
      </c>
      <c r="H85" s="171"/>
      <c r="I85" s="116">
        <v>1</v>
      </c>
      <c r="J85" s="627">
        <v>1000000</v>
      </c>
      <c r="K85" s="627">
        <v>1000000</v>
      </c>
      <c r="L85" s="627">
        <v>1000000</v>
      </c>
      <c r="M85" s="125">
        <v>1000000</v>
      </c>
      <c r="N85" s="126"/>
      <c r="O85" s="126"/>
      <c r="P85" s="126"/>
      <c r="Q85" s="517"/>
      <c r="R85" s="126"/>
      <c r="T85" s="926"/>
      <c r="U85" s="926"/>
      <c r="V85" s="926"/>
    </row>
    <row r="86" spans="2:22" s="113" customFormat="1" ht="30.75" hidden="1" customHeight="1" x14ac:dyDescent="0.25">
      <c r="B86" s="59"/>
      <c r="C86" s="119"/>
      <c r="D86" s="156"/>
      <c r="E86" s="157"/>
      <c r="F86" s="169" t="s">
        <v>46</v>
      </c>
      <c r="G86" s="170" t="s">
        <v>121</v>
      </c>
      <c r="H86" s="171"/>
      <c r="I86" s="116">
        <v>1</v>
      </c>
      <c r="J86" s="627">
        <v>1000000</v>
      </c>
      <c r="K86" s="627">
        <v>1000000</v>
      </c>
      <c r="L86" s="627">
        <v>1000000</v>
      </c>
      <c r="M86" s="125">
        <v>1000000</v>
      </c>
      <c r="N86" s="126"/>
      <c r="O86" s="126"/>
      <c r="P86" s="126"/>
      <c r="Q86" s="517"/>
      <c r="R86" s="126"/>
      <c r="T86" s="926"/>
      <c r="U86" s="926"/>
      <c r="V86" s="926"/>
    </row>
    <row r="87" spans="2:22" s="113" customFormat="1" ht="30.75" hidden="1" customHeight="1" x14ac:dyDescent="0.25">
      <c r="B87" s="59"/>
      <c r="C87" s="119"/>
      <c r="D87" s="156"/>
      <c r="E87" s="157"/>
      <c r="F87" s="169" t="s">
        <v>46</v>
      </c>
      <c r="G87" s="170" t="s">
        <v>122</v>
      </c>
      <c r="H87" s="171"/>
      <c r="I87" s="116">
        <v>1</v>
      </c>
      <c r="J87" s="627">
        <v>1000000</v>
      </c>
      <c r="K87" s="627">
        <v>1000000</v>
      </c>
      <c r="L87" s="627">
        <v>1000000</v>
      </c>
      <c r="M87" s="125">
        <v>1000000</v>
      </c>
      <c r="N87" s="126"/>
      <c r="O87" s="126"/>
      <c r="P87" s="126"/>
      <c r="Q87" s="517"/>
      <c r="R87" s="126"/>
      <c r="T87" s="926"/>
      <c r="U87" s="926"/>
      <c r="V87" s="926"/>
    </row>
    <row r="88" spans="2:22" s="113" customFormat="1" ht="15.75" hidden="1" customHeight="1" x14ac:dyDescent="0.25">
      <c r="B88" s="59"/>
      <c r="C88" s="119"/>
      <c r="D88" s="156"/>
      <c r="E88" s="157"/>
      <c r="F88" s="169" t="s">
        <v>46</v>
      </c>
      <c r="G88" s="170" t="s">
        <v>123</v>
      </c>
      <c r="H88" s="171"/>
      <c r="I88" s="116">
        <v>2</v>
      </c>
      <c r="J88" s="627">
        <v>1000000</v>
      </c>
      <c r="K88" s="627">
        <v>1000000</v>
      </c>
      <c r="L88" s="627">
        <v>1000000</v>
      </c>
      <c r="M88" s="125">
        <v>1000000</v>
      </c>
      <c r="N88" s="126"/>
      <c r="O88" s="126"/>
      <c r="P88" s="126"/>
      <c r="Q88" s="517"/>
      <c r="R88" s="126"/>
      <c r="T88" s="926"/>
      <c r="U88" s="926"/>
      <c r="V88" s="926"/>
    </row>
    <row r="89" spans="2:22" s="113" customFormat="1" ht="15.75" hidden="1" customHeight="1" x14ac:dyDescent="0.25">
      <c r="B89" s="59"/>
      <c r="C89" s="119"/>
      <c r="D89" s="156"/>
      <c r="E89" s="157"/>
      <c r="F89" s="169" t="s">
        <v>46</v>
      </c>
      <c r="G89" s="170" t="s">
        <v>124</v>
      </c>
      <c r="H89" s="171"/>
      <c r="I89" s="116">
        <v>1</v>
      </c>
      <c r="J89" s="627">
        <v>1000000</v>
      </c>
      <c r="K89" s="627">
        <v>1000000</v>
      </c>
      <c r="L89" s="627">
        <v>1000000</v>
      </c>
      <c r="M89" s="125">
        <v>1000000</v>
      </c>
      <c r="N89" s="126"/>
      <c r="O89" s="126"/>
      <c r="P89" s="126"/>
      <c r="Q89" s="517"/>
      <c r="R89" s="126"/>
      <c r="T89" s="926"/>
      <c r="U89" s="926"/>
      <c r="V89" s="926"/>
    </row>
    <row r="90" spans="2:22" s="113" customFormat="1" ht="21.75" hidden="1" customHeight="1" x14ac:dyDescent="0.25">
      <c r="B90" s="59"/>
      <c r="C90" s="39"/>
      <c r="D90" s="109"/>
      <c r="E90" s="88"/>
      <c r="F90" s="1577" t="s">
        <v>125</v>
      </c>
      <c r="G90" s="1578"/>
      <c r="H90" s="172" t="s">
        <v>126</v>
      </c>
      <c r="I90" s="110"/>
      <c r="J90" s="625">
        <v>0</v>
      </c>
      <c r="K90" s="625">
        <v>0</v>
      </c>
      <c r="L90" s="625">
        <v>0</v>
      </c>
      <c r="M90" s="111">
        <v>0</v>
      </c>
      <c r="N90" s="112"/>
      <c r="O90" s="112"/>
      <c r="P90" s="112"/>
      <c r="Q90" s="516"/>
      <c r="R90" s="112"/>
      <c r="T90" s="926"/>
      <c r="U90" s="926"/>
      <c r="V90" s="926"/>
    </row>
    <row r="91" spans="2:22" s="62" customFormat="1" ht="21" customHeight="1" x14ac:dyDescent="0.25">
      <c r="B91" s="59"/>
      <c r="C91" s="39"/>
      <c r="D91" s="109"/>
      <c r="E91" s="88" t="s">
        <v>439</v>
      </c>
      <c r="F91" s="1577" t="s">
        <v>127</v>
      </c>
      <c r="G91" s="1578"/>
      <c r="H91" s="173" t="s">
        <v>128</v>
      </c>
      <c r="I91" s="134" t="s">
        <v>536</v>
      </c>
      <c r="J91" s="626">
        <f>SUM(J92:J92)</f>
        <v>10000000000</v>
      </c>
      <c r="K91" s="626">
        <f>SUM(K92:K92)</f>
        <v>10000000000</v>
      </c>
      <c r="L91" s="626">
        <f>SUM(L92:L92)</f>
        <v>10000000000</v>
      </c>
      <c r="M91" s="117">
        <f>SUM(M92:M92)</f>
        <v>10000000000</v>
      </c>
      <c r="N91" s="118"/>
      <c r="O91" s="118"/>
      <c r="P91" s="118"/>
      <c r="Q91" s="518"/>
      <c r="R91" s="118"/>
      <c r="T91" s="731"/>
      <c r="U91" s="731"/>
      <c r="V91" s="731"/>
    </row>
    <row r="92" spans="2:22" s="1182" customFormat="1" ht="12" customHeight="1" x14ac:dyDescent="0.25">
      <c r="B92" s="1170"/>
      <c r="C92" s="1171"/>
      <c r="D92" s="1172"/>
      <c r="E92" s="1173"/>
      <c r="F92" s="1174" t="s">
        <v>46</v>
      </c>
      <c r="G92" s="1175" t="s">
        <v>129</v>
      </c>
      <c r="H92" s="1176"/>
      <c r="I92" s="1177" t="s">
        <v>536</v>
      </c>
      <c r="J92" s="1178">
        <v>10000000000</v>
      </c>
      <c r="K92" s="1178">
        <v>10000000000</v>
      </c>
      <c r="L92" s="1178">
        <v>10000000000</v>
      </c>
      <c r="M92" s="1179">
        <v>10000000000</v>
      </c>
      <c r="N92" s="1180"/>
      <c r="O92" s="1180"/>
      <c r="P92" s="1180"/>
      <c r="Q92" s="1181"/>
      <c r="R92" s="1180"/>
      <c r="T92" s="1444"/>
      <c r="U92" s="1444"/>
      <c r="V92" s="1444"/>
    </row>
    <row r="93" spans="2:22" s="62" customFormat="1" ht="19.5" customHeight="1" x14ac:dyDescent="0.25">
      <c r="B93" s="59"/>
      <c r="C93" s="39"/>
      <c r="D93" s="109"/>
      <c r="E93" s="88" t="s">
        <v>440</v>
      </c>
      <c r="F93" s="1577" t="s">
        <v>130</v>
      </c>
      <c r="G93" s="1578"/>
      <c r="H93" s="165" t="s">
        <v>131</v>
      </c>
      <c r="I93" s="134" t="s">
        <v>398</v>
      </c>
      <c r="J93" s="1374">
        <f>SUM(J94:J96)</f>
        <v>12000000000</v>
      </c>
      <c r="K93" s="1374">
        <f>SUM(K94:K96)</f>
        <v>13000000000</v>
      </c>
      <c r="L93" s="1374">
        <f>SUM(L94:L96)</f>
        <v>12000000000</v>
      </c>
      <c r="M93" s="1375">
        <f>SUM(M94:M96)</f>
        <v>11650000000</v>
      </c>
      <c r="N93" s="118"/>
      <c r="O93" s="118"/>
      <c r="P93" s="118"/>
      <c r="Q93" s="518"/>
      <c r="R93" s="118"/>
      <c r="T93" s="731"/>
      <c r="U93" s="731"/>
      <c r="V93" s="731"/>
    </row>
    <row r="94" spans="2:22" s="1182" customFormat="1" ht="12" customHeight="1" x14ac:dyDescent="0.25">
      <c r="B94" s="1170"/>
      <c r="C94" s="1171"/>
      <c r="D94" s="1172"/>
      <c r="E94" s="1173"/>
      <c r="F94" s="1183" t="s">
        <v>46</v>
      </c>
      <c r="G94" s="1184" t="s">
        <v>132</v>
      </c>
      <c r="H94" s="1176"/>
      <c r="I94" s="1177" t="s">
        <v>133</v>
      </c>
      <c r="J94" s="1424">
        <f>4200000000+1800000000</f>
        <v>6000000000</v>
      </c>
      <c r="K94" s="1424">
        <f>4200000000+1000000000+1800000000</f>
        <v>7000000000</v>
      </c>
      <c r="L94" s="1424">
        <f>4200000000+1800000000</f>
        <v>6000000000</v>
      </c>
      <c r="M94" s="1425">
        <f>4200000000+1000000000+1800000000-1000000000-350000000</f>
        <v>5650000000</v>
      </c>
      <c r="N94" s="1180"/>
      <c r="O94" s="1180"/>
      <c r="P94" s="1180"/>
      <c r="Q94" s="1181"/>
      <c r="R94" s="1180"/>
      <c r="S94" s="1185"/>
      <c r="T94" s="1444"/>
      <c r="U94" s="1444"/>
      <c r="V94" s="1444"/>
    </row>
    <row r="95" spans="2:22" s="1199" customFormat="1" ht="12" hidden="1" customHeight="1" x14ac:dyDescent="0.25">
      <c r="B95" s="1186"/>
      <c r="C95" s="1187"/>
      <c r="D95" s="1188"/>
      <c r="E95" s="1189"/>
      <c r="F95" s="1190" t="s">
        <v>46</v>
      </c>
      <c r="G95" s="1191" t="s">
        <v>132</v>
      </c>
      <c r="H95" s="1192"/>
      <c r="I95" s="1193"/>
      <c r="J95" s="1194"/>
      <c r="K95" s="1194">
        <v>0</v>
      </c>
      <c r="L95" s="1194">
        <v>0</v>
      </c>
      <c r="M95" s="1195">
        <v>0</v>
      </c>
      <c r="N95" s="1196"/>
      <c r="O95" s="1196"/>
      <c r="P95" s="1196"/>
      <c r="Q95" s="1197" t="s">
        <v>134</v>
      </c>
      <c r="R95" s="1196">
        <v>1800000000</v>
      </c>
      <c r="S95" s="1198" t="s">
        <v>134</v>
      </c>
      <c r="T95" s="1445"/>
      <c r="U95" s="1445"/>
      <c r="V95" s="1445"/>
    </row>
    <row r="96" spans="2:22" s="1182" customFormat="1" ht="12" customHeight="1" x14ac:dyDescent="0.25">
      <c r="B96" s="1170"/>
      <c r="C96" s="1171"/>
      <c r="D96" s="1172"/>
      <c r="E96" s="1173"/>
      <c r="F96" s="1183" t="s">
        <v>46</v>
      </c>
      <c r="G96" s="1184" t="s">
        <v>135</v>
      </c>
      <c r="H96" s="1176"/>
      <c r="I96" s="1177" t="s">
        <v>133</v>
      </c>
      <c r="J96" s="1178">
        <v>6000000000</v>
      </c>
      <c r="K96" s="1178">
        <v>6000000000</v>
      </c>
      <c r="L96" s="1178">
        <v>6000000000</v>
      </c>
      <c r="M96" s="1179">
        <v>6000000000</v>
      </c>
      <c r="N96" s="1180"/>
      <c r="O96" s="1180"/>
      <c r="P96" s="1180"/>
      <c r="Q96" s="1200"/>
      <c r="R96" s="1180"/>
      <c r="T96" s="1444"/>
      <c r="U96" s="1444"/>
      <c r="V96" s="1444"/>
    </row>
    <row r="97" spans="2:22" s="62" customFormat="1" ht="26.25" customHeight="1" x14ac:dyDescent="0.25">
      <c r="B97" s="59"/>
      <c r="C97" s="39"/>
      <c r="D97" s="140"/>
      <c r="E97" s="749" t="s">
        <v>441</v>
      </c>
      <c r="F97" s="1582" t="s">
        <v>136</v>
      </c>
      <c r="G97" s="1583"/>
      <c r="H97" s="469" t="s">
        <v>137</v>
      </c>
      <c r="I97" s="200" t="s">
        <v>537</v>
      </c>
      <c r="J97" s="626">
        <f>SUM(J98:J101)</f>
        <v>26300000000</v>
      </c>
      <c r="K97" s="626">
        <f>SUM(K98:K101)</f>
        <v>35300000000</v>
      </c>
      <c r="L97" s="626">
        <f>SUM(L98:L101)</f>
        <v>28000000000</v>
      </c>
      <c r="M97" s="1475">
        <f>SUM(M98:M101)</f>
        <v>32000000000</v>
      </c>
      <c r="N97" s="996"/>
      <c r="O97" s="996"/>
      <c r="P97" s="118"/>
      <c r="Q97" s="586"/>
      <c r="R97" s="118"/>
      <c r="T97" s="731"/>
      <c r="U97" s="731"/>
      <c r="V97" s="731"/>
    </row>
    <row r="98" spans="2:22" s="1182" customFormat="1" ht="12" customHeight="1" x14ac:dyDescent="0.25">
      <c r="B98" s="1201"/>
      <c r="C98" s="1171"/>
      <c r="D98" s="1172"/>
      <c r="E98" s="1173"/>
      <c r="F98" s="1183" t="s">
        <v>46</v>
      </c>
      <c r="G98" s="1202" t="s">
        <v>138</v>
      </c>
      <c r="H98" s="1176"/>
      <c r="I98" s="1203" t="s">
        <v>593</v>
      </c>
      <c r="J98" s="1178">
        <f>12500000000+500000000</f>
        <v>13000000000</v>
      </c>
      <c r="K98" s="1178">
        <f>12500000000+500000000</f>
        <v>13000000000</v>
      </c>
      <c r="L98" s="1178">
        <f>12500000000+500000000</f>
        <v>13000000000</v>
      </c>
      <c r="M98" s="1179">
        <f>12500000000+500000000-1000000000</f>
        <v>12000000000</v>
      </c>
      <c r="N98" s="1180"/>
      <c r="O98" s="1180"/>
      <c r="P98" s="1180"/>
      <c r="Q98" s="1200"/>
      <c r="R98" s="1180"/>
      <c r="T98" s="1444"/>
      <c r="U98" s="1444"/>
      <c r="V98" s="1444"/>
    </row>
    <row r="99" spans="2:22" s="1182" customFormat="1" ht="12" customHeight="1" x14ac:dyDescent="0.25">
      <c r="B99" s="1201"/>
      <c r="C99" s="1171"/>
      <c r="D99" s="1172"/>
      <c r="E99" s="1173"/>
      <c r="F99" s="1183" t="s">
        <v>46</v>
      </c>
      <c r="G99" s="1202" t="s">
        <v>139</v>
      </c>
      <c r="H99" s="1204"/>
      <c r="I99" s="1203" t="s">
        <v>109</v>
      </c>
      <c r="J99" s="1178">
        <v>5800000000</v>
      </c>
      <c r="K99" s="1178">
        <f>5800000000+9000000000</f>
        <v>14800000000</v>
      </c>
      <c r="L99" s="1178">
        <f>5800000000+1700000000</f>
        <v>7500000000</v>
      </c>
      <c r="M99" s="1179">
        <f>5800000000+1700000000+10000000000-5000000000</f>
        <v>12500000000</v>
      </c>
      <c r="N99" s="1205"/>
      <c r="O99" s="1205"/>
      <c r="P99" s="1180"/>
      <c r="Q99" s="1200"/>
      <c r="R99" s="1180"/>
      <c r="T99" s="1444"/>
      <c r="U99" s="1444"/>
      <c r="V99" s="1444"/>
    </row>
    <row r="100" spans="2:22" s="1182" customFormat="1" ht="12" customHeight="1" x14ac:dyDescent="0.25">
      <c r="B100" s="1201"/>
      <c r="C100" s="1171"/>
      <c r="D100" s="1172"/>
      <c r="E100" s="1173"/>
      <c r="F100" s="1183" t="s">
        <v>46</v>
      </c>
      <c r="G100" s="1202" t="s">
        <v>140</v>
      </c>
      <c r="H100" s="1176" t="s">
        <v>594</v>
      </c>
      <c r="I100" s="1203" t="s">
        <v>111</v>
      </c>
      <c r="J100" s="1178">
        <v>7500000000</v>
      </c>
      <c r="K100" s="1178">
        <v>7500000000</v>
      </c>
      <c r="L100" s="1178">
        <v>7500000000</v>
      </c>
      <c r="M100" s="1179">
        <v>7500000000</v>
      </c>
      <c r="N100" s="1180"/>
      <c r="O100" s="1180"/>
      <c r="P100" s="1180"/>
      <c r="Q100" s="1200"/>
      <c r="R100" s="1180"/>
      <c r="T100" s="1444"/>
      <c r="U100" s="1444"/>
      <c r="V100" s="1444"/>
    </row>
    <row r="101" spans="2:22" s="192" customFormat="1" ht="15" hidden="1" customHeight="1" x14ac:dyDescent="0.25">
      <c r="B101" s="267"/>
      <c r="C101" s="183"/>
      <c r="D101" s="184"/>
      <c r="E101" s="185"/>
      <c r="F101" s="186"/>
      <c r="G101" s="202" t="s">
        <v>138</v>
      </c>
      <c r="H101" s="603"/>
      <c r="I101" s="203"/>
      <c r="J101" s="636"/>
      <c r="K101" s="636">
        <v>0</v>
      </c>
      <c r="L101" s="636">
        <v>0</v>
      </c>
      <c r="M101" s="190">
        <v>0</v>
      </c>
      <c r="N101" s="191"/>
      <c r="O101" s="191"/>
      <c r="P101" s="191"/>
      <c r="Q101" s="587" t="s">
        <v>143</v>
      </c>
      <c r="R101" s="191">
        <v>500000000</v>
      </c>
      <c r="S101" s="192" t="s">
        <v>143</v>
      </c>
      <c r="T101" s="1446"/>
      <c r="U101" s="1446"/>
      <c r="V101" s="1446"/>
    </row>
    <row r="102" spans="2:22" s="113" customFormat="1" ht="26.25" customHeight="1" x14ac:dyDescent="0.25">
      <c r="B102" s="59"/>
      <c r="C102" s="39"/>
      <c r="D102" s="140"/>
      <c r="E102" s="749" t="s">
        <v>442</v>
      </c>
      <c r="F102" s="1582" t="s">
        <v>145</v>
      </c>
      <c r="G102" s="1583"/>
      <c r="H102" s="1123" t="s">
        <v>146</v>
      </c>
      <c r="I102" s="200" t="s">
        <v>538</v>
      </c>
      <c r="J102" s="625">
        <f>SUM(J103:J111)</f>
        <v>21200000000</v>
      </c>
      <c r="K102" s="625">
        <f>SUM(K103:K111)</f>
        <v>26200000000</v>
      </c>
      <c r="L102" s="625">
        <f>SUM(L103:L111)</f>
        <v>22200000000</v>
      </c>
      <c r="M102" s="1476">
        <f>SUM(M103:M111)</f>
        <v>26158487571</v>
      </c>
      <c r="N102" s="998"/>
      <c r="O102" s="998"/>
      <c r="P102" s="112"/>
      <c r="Q102" s="585"/>
      <c r="R102" s="112"/>
      <c r="S102" s="1383"/>
      <c r="T102" s="926"/>
      <c r="U102" s="926"/>
      <c r="V102" s="926"/>
    </row>
    <row r="103" spans="2:22" s="1182" customFormat="1" ht="12" customHeight="1" x14ac:dyDescent="0.25">
      <c r="B103" s="1170"/>
      <c r="C103" s="1171"/>
      <c r="D103" s="1172"/>
      <c r="E103" s="1173"/>
      <c r="F103" s="1183" t="s">
        <v>46</v>
      </c>
      <c r="G103" s="1175" t="s">
        <v>147</v>
      </c>
      <c r="H103" s="1176"/>
      <c r="I103" s="1177" t="s">
        <v>141</v>
      </c>
      <c r="J103" s="1178">
        <v>5000000000</v>
      </c>
      <c r="K103" s="1178">
        <f>5000000000+500000000</f>
        <v>5500000000</v>
      </c>
      <c r="L103" s="1178">
        <v>5000000000</v>
      </c>
      <c r="M103" s="1179">
        <f>5000000000+500000000</f>
        <v>5500000000</v>
      </c>
      <c r="N103" s="1180"/>
      <c r="O103" s="1180"/>
      <c r="P103" s="1180"/>
      <c r="Q103" s="1200"/>
      <c r="R103" s="1180"/>
      <c r="T103" s="1444"/>
      <c r="U103" s="1444"/>
      <c r="V103" s="1444"/>
    </row>
    <row r="104" spans="2:22" s="1182" customFormat="1" ht="12" customHeight="1" x14ac:dyDescent="0.25">
      <c r="B104" s="1170"/>
      <c r="C104" s="1171"/>
      <c r="D104" s="1172"/>
      <c r="E104" s="1173"/>
      <c r="F104" s="1183" t="s">
        <v>46</v>
      </c>
      <c r="G104" s="1175" t="s">
        <v>149</v>
      </c>
      <c r="H104" s="1176"/>
      <c r="I104" s="1177" t="s">
        <v>141</v>
      </c>
      <c r="J104" s="1178">
        <v>6000000000</v>
      </c>
      <c r="K104" s="1178">
        <v>6000000000</v>
      </c>
      <c r="L104" s="1178">
        <v>6000000000</v>
      </c>
      <c r="M104" s="1179">
        <v>6000000000</v>
      </c>
      <c r="N104" s="1180"/>
      <c r="O104" s="1180"/>
      <c r="P104" s="1180"/>
      <c r="Q104" s="1200"/>
      <c r="R104" s="1180"/>
      <c r="T104" s="1444"/>
      <c r="U104" s="1444"/>
      <c r="V104" s="1444"/>
    </row>
    <row r="105" spans="2:22" s="1182" customFormat="1" ht="12" customHeight="1" x14ac:dyDescent="0.25">
      <c r="B105" s="1170"/>
      <c r="C105" s="1171"/>
      <c r="D105" s="1172"/>
      <c r="E105" s="1173"/>
      <c r="F105" s="1174" t="s">
        <v>46</v>
      </c>
      <c r="G105" s="1175" t="s">
        <v>150</v>
      </c>
      <c r="H105" s="1176"/>
      <c r="I105" s="1177" t="s">
        <v>141</v>
      </c>
      <c r="J105" s="1178">
        <f>3000000000+3000000000</f>
        <v>6000000000</v>
      </c>
      <c r="K105" s="1178">
        <f>3000000000+3000000000</f>
        <v>6000000000</v>
      </c>
      <c r="L105" s="1178">
        <f>3000000000+3000000000</f>
        <v>6000000000</v>
      </c>
      <c r="M105" s="1179">
        <f>3000000000+3000000000</f>
        <v>6000000000</v>
      </c>
      <c r="N105" s="1180"/>
      <c r="O105" s="1180"/>
      <c r="P105" s="1180"/>
      <c r="Q105" s="1200"/>
      <c r="R105" s="1180"/>
      <c r="T105" s="1444"/>
      <c r="U105" s="1444"/>
      <c r="V105" s="1444"/>
    </row>
    <row r="106" spans="2:22" s="1472" customFormat="1" ht="12" customHeight="1" x14ac:dyDescent="0.25">
      <c r="B106" s="1460"/>
      <c r="C106" s="1461"/>
      <c r="D106" s="1462"/>
      <c r="E106" s="1463"/>
      <c r="F106" s="1464" t="s">
        <v>46</v>
      </c>
      <c r="G106" s="1465" t="s">
        <v>394</v>
      </c>
      <c r="H106" s="1466"/>
      <c r="I106" s="1467" t="s">
        <v>141</v>
      </c>
      <c r="J106" s="1468">
        <v>1000000000</v>
      </c>
      <c r="K106" s="1468">
        <f>4500000000+1000000000</f>
        <v>5500000000</v>
      </c>
      <c r="L106" s="1468">
        <f>500000000+1000000000</f>
        <v>1500000000</v>
      </c>
      <c r="M106" s="1469">
        <f>500000000+4500000000+1000000000-3000000000+1958487571</f>
        <v>4958487571</v>
      </c>
      <c r="N106" s="1470"/>
      <c r="O106" s="1470"/>
      <c r="P106" s="1470"/>
      <c r="Q106" s="1471"/>
      <c r="R106" s="1470"/>
      <c r="T106" s="1473"/>
      <c r="U106" s="1473"/>
      <c r="V106" s="1473"/>
    </row>
    <row r="107" spans="2:22" s="1182" customFormat="1" ht="12" customHeight="1" x14ac:dyDescent="0.25">
      <c r="B107" s="1206"/>
      <c r="C107" s="1171"/>
      <c r="D107" s="1172"/>
      <c r="E107" s="1207"/>
      <c r="F107" s="1208" t="s">
        <v>46</v>
      </c>
      <c r="G107" s="1175" t="s">
        <v>484</v>
      </c>
      <c r="H107" s="1176"/>
      <c r="I107" s="1177" t="s">
        <v>399</v>
      </c>
      <c r="J107" s="1178">
        <v>3200000000</v>
      </c>
      <c r="K107" s="1178">
        <v>3200000000</v>
      </c>
      <c r="L107" s="1178">
        <f>500000000+3200000000</f>
        <v>3700000000</v>
      </c>
      <c r="M107" s="1179">
        <f>500000000+3200000000</f>
        <v>3700000000</v>
      </c>
      <c r="N107" s="1205"/>
      <c r="O107" s="1205"/>
      <c r="P107" s="1180"/>
      <c r="Q107" s="1200"/>
      <c r="R107" s="1180"/>
      <c r="T107" s="1444"/>
      <c r="U107" s="1444"/>
      <c r="V107" s="1444"/>
    </row>
    <row r="108" spans="2:22" s="192" customFormat="1" ht="15.75" hidden="1" customHeight="1" x14ac:dyDescent="0.25">
      <c r="B108" s="182"/>
      <c r="C108" s="183"/>
      <c r="D108" s="184"/>
      <c r="E108" s="206"/>
      <c r="F108" s="207" t="s">
        <v>46</v>
      </c>
      <c r="G108" s="208" t="s">
        <v>394</v>
      </c>
      <c r="H108" s="603"/>
      <c r="I108" s="189" t="s">
        <v>174</v>
      </c>
      <c r="J108" s="636">
        <v>0</v>
      </c>
      <c r="K108" s="636">
        <v>0</v>
      </c>
      <c r="L108" s="636">
        <v>0</v>
      </c>
      <c r="M108" s="190">
        <v>0</v>
      </c>
      <c r="N108" s="191"/>
      <c r="O108" s="191"/>
      <c r="P108" s="191"/>
      <c r="Q108" s="587" t="s">
        <v>151</v>
      </c>
      <c r="R108" s="191">
        <v>1000000000</v>
      </c>
      <c r="S108" s="192" t="s">
        <v>151</v>
      </c>
      <c r="T108" s="1446"/>
      <c r="U108" s="1446"/>
      <c r="V108" s="1446"/>
    </row>
    <row r="109" spans="2:22" s="192" customFormat="1" ht="15.75" hidden="1" customHeight="1" x14ac:dyDescent="0.25">
      <c r="B109" s="182"/>
      <c r="C109" s="183"/>
      <c r="D109" s="184"/>
      <c r="E109" s="206"/>
      <c r="F109" s="207" t="s">
        <v>46</v>
      </c>
      <c r="G109" s="208" t="s">
        <v>152</v>
      </c>
      <c r="H109" s="603"/>
      <c r="I109" s="189" t="s">
        <v>399</v>
      </c>
      <c r="J109" s="636"/>
      <c r="K109" s="636"/>
      <c r="L109" s="636"/>
      <c r="M109" s="190"/>
      <c r="N109" s="191"/>
      <c r="O109" s="191"/>
      <c r="P109" s="191"/>
      <c r="Q109" s="587" t="s">
        <v>151</v>
      </c>
      <c r="R109" s="191">
        <v>1000000000</v>
      </c>
      <c r="S109" s="192" t="s">
        <v>151</v>
      </c>
      <c r="T109" s="1446"/>
      <c r="U109" s="1446"/>
      <c r="V109" s="1446"/>
    </row>
    <row r="110" spans="2:22" s="192" customFormat="1" ht="15.75" hidden="1" customHeight="1" x14ac:dyDescent="0.25">
      <c r="B110" s="182"/>
      <c r="C110" s="183"/>
      <c r="D110" s="184"/>
      <c r="E110" s="206"/>
      <c r="F110" s="207" t="s">
        <v>46</v>
      </c>
      <c r="G110" s="208" t="s">
        <v>152</v>
      </c>
      <c r="H110" s="603"/>
      <c r="I110" s="189" t="s">
        <v>399</v>
      </c>
      <c r="J110" s="636"/>
      <c r="K110" s="636"/>
      <c r="L110" s="636"/>
      <c r="M110" s="190"/>
      <c r="N110" s="191"/>
      <c r="O110" s="191"/>
      <c r="P110" s="191"/>
      <c r="Q110" s="587" t="s">
        <v>425</v>
      </c>
      <c r="R110" s="191">
        <v>2000000000</v>
      </c>
      <c r="S110" s="192" t="s">
        <v>425</v>
      </c>
      <c r="T110" s="1446"/>
      <c r="U110" s="1446"/>
      <c r="V110" s="1446"/>
    </row>
    <row r="111" spans="2:22" s="192" customFormat="1" ht="15.75" hidden="1" customHeight="1" x14ac:dyDescent="0.25">
      <c r="B111" s="182"/>
      <c r="C111" s="183"/>
      <c r="D111" s="184"/>
      <c r="E111" s="206"/>
      <c r="F111" s="207" t="s">
        <v>46</v>
      </c>
      <c r="G111" s="208" t="s">
        <v>153</v>
      </c>
      <c r="H111" s="603"/>
      <c r="I111" s="189" t="s">
        <v>399</v>
      </c>
      <c r="J111" s="636"/>
      <c r="K111" s="636"/>
      <c r="L111" s="636"/>
      <c r="M111" s="190"/>
      <c r="N111" s="191"/>
      <c r="O111" s="191"/>
      <c r="P111" s="191"/>
      <c r="Q111" s="587" t="s">
        <v>154</v>
      </c>
      <c r="R111" s="191">
        <v>3200000000</v>
      </c>
      <c r="S111" s="192" t="s">
        <v>154</v>
      </c>
      <c r="T111" s="1446"/>
      <c r="U111" s="1446"/>
      <c r="V111" s="1446"/>
    </row>
    <row r="112" spans="2:22" s="62" customFormat="1" ht="25.5" customHeight="1" x14ac:dyDescent="0.25">
      <c r="B112" s="59"/>
      <c r="C112" s="39"/>
      <c r="D112" s="109"/>
      <c r="E112" s="88" t="s">
        <v>443</v>
      </c>
      <c r="F112" s="1579" t="s">
        <v>155</v>
      </c>
      <c r="G112" s="1580"/>
      <c r="H112" s="173" t="s">
        <v>156</v>
      </c>
      <c r="I112" s="200" t="s">
        <v>109</v>
      </c>
      <c r="J112" s="626">
        <f>SUM(J113:J114)</f>
        <v>13500000000</v>
      </c>
      <c r="K112" s="626">
        <f>SUM(K113:K114)</f>
        <v>13500000000</v>
      </c>
      <c r="L112" s="626">
        <f>SUM(L113:L114)</f>
        <v>13500000000</v>
      </c>
      <c r="M112" s="117">
        <f>SUM(M113:M114)</f>
        <v>13500000000</v>
      </c>
      <c r="N112" s="118"/>
      <c r="O112" s="118"/>
      <c r="P112" s="118"/>
      <c r="Q112" s="586"/>
      <c r="R112" s="118"/>
      <c r="T112" s="731"/>
      <c r="U112" s="731"/>
      <c r="V112" s="731"/>
    </row>
    <row r="113" spans="2:22" s="1182" customFormat="1" ht="12" customHeight="1" x14ac:dyDescent="0.25">
      <c r="B113" s="1170"/>
      <c r="C113" s="1171"/>
      <c r="D113" s="1172"/>
      <c r="E113" s="1173"/>
      <c r="F113" s="1174" t="s">
        <v>46</v>
      </c>
      <c r="G113" s="1175" t="s">
        <v>157</v>
      </c>
      <c r="H113" s="1176"/>
      <c r="I113" s="1203" t="s">
        <v>111</v>
      </c>
      <c r="J113" s="1178">
        <v>7500000000</v>
      </c>
      <c r="K113" s="1178">
        <v>7500000000</v>
      </c>
      <c r="L113" s="1178">
        <v>7500000000</v>
      </c>
      <c r="M113" s="1179">
        <v>7500000000</v>
      </c>
      <c r="N113" s="1180"/>
      <c r="O113" s="1180"/>
      <c r="P113" s="1180"/>
      <c r="Q113" s="1200"/>
      <c r="R113" s="1180"/>
      <c r="T113" s="1444"/>
      <c r="U113" s="1444"/>
      <c r="V113" s="1444"/>
    </row>
    <row r="114" spans="2:22" s="1213" customFormat="1" ht="12" customHeight="1" x14ac:dyDescent="0.25">
      <c r="B114" s="1170"/>
      <c r="C114" s="1209"/>
      <c r="D114" s="1210"/>
      <c r="E114" s="1207"/>
      <c r="F114" s="1183" t="s">
        <v>46</v>
      </c>
      <c r="G114" s="1175" t="s">
        <v>158</v>
      </c>
      <c r="H114" s="1176"/>
      <c r="I114" s="1203" t="s">
        <v>148</v>
      </c>
      <c r="J114" s="1178">
        <v>6000000000</v>
      </c>
      <c r="K114" s="1178">
        <v>6000000000</v>
      </c>
      <c r="L114" s="1178">
        <v>6000000000</v>
      </c>
      <c r="M114" s="1179">
        <v>6000000000</v>
      </c>
      <c r="N114" s="1211"/>
      <c r="O114" s="1211"/>
      <c r="P114" s="1211"/>
      <c r="Q114" s="1212"/>
      <c r="R114" s="1211"/>
      <c r="T114" s="1447"/>
      <c r="U114" s="1447"/>
      <c r="V114" s="1447"/>
    </row>
    <row r="115" spans="2:22" s="62" customFormat="1" ht="24.75" customHeight="1" x14ac:dyDescent="0.25">
      <c r="B115" s="59"/>
      <c r="C115" s="39"/>
      <c r="D115" s="109"/>
      <c r="E115" s="88" t="s">
        <v>444</v>
      </c>
      <c r="F115" s="1577" t="s">
        <v>160</v>
      </c>
      <c r="G115" s="1578"/>
      <c r="H115" s="165" t="s">
        <v>161</v>
      </c>
      <c r="I115" s="200" t="s">
        <v>539</v>
      </c>
      <c r="J115" s="630">
        <f>SUM(J116:J119)</f>
        <v>14450000000</v>
      </c>
      <c r="K115" s="630">
        <f>SUM(K116:K119)</f>
        <v>14450000000</v>
      </c>
      <c r="L115" s="630">
        <f>SUM(L116:L119)</f>
        <v>14450000000</v>
      </c>
      <c r="M115" s="146">
        <f>SUM(M116:M119)</f>
        <v>14450000000</v>
      </c>
      <c r="N115" s="147"/>
      <c r="O115" s="147"/>
      <c r="P115" s="147"/>
      <c r="Q115" s="586"/>
      <c r="R115" s="118"/>
      <c r="T115" s="731"/>
      <c r="U115" s="731"/>
      <c r="V115" s="731"/>
    </row>
    <row r="116" spans="2:22" s="1182" customFormat="1" ht="12" customHeight="1" x14ac:dyDescent="0.25">
      <c r="B116" s="1170"/>
      <c r="C116" s="1171"/>
      <c r="D116" s="1172"/>
      <c r="E116" s="1214"/>
      <c r="F116" s="1174" t="s">
        <v>46</v>
      </c>
      <c r="G116" s="1140" t="s">
        <v>162</v>
      </c>
      <c r="H116" s="1176"/>
      <c r="I116" s="1177" t="s">
        <v>141</v>
      </c>
      <c r="J116" s="1178">
        <f>7500000000+450000000</f>
        <v>7950000000</v>
      </c>
      <c r="K116" s="1178">
        <f>7500000000+450000000</f>
        <v>7950000000</v>
      </c>
      <c r="L116" s="1178">
        <f>7500000000+450000000</f>
        <v>7950000000</v>
      </c>
      <c r="M116" s="1179">
        <f>7500000000+450000000</f>
        <v>7950000000</v>
      </c>
      <c r="N116" s="1180"/>
      <c r="O116" s="1180"/>
      <c r="P116" s="1180"/>
      <c r="Q116" s="1200"/>
      <c r="R116" s="1180"/>
      <c r="T116" s="1444"/>
      <c r="U116" s="1444"/>
      <c r="V116" s="1444"/>
    </row>
    <row r="117" spans="2:22" s="1182" customFormat="1" ht="12" customHeight="1" x14ac:dyDescent="0.25">
      <c r="B117" s="1170"/>
      <c r="C117" s="1171"/>
      <c r="D117" s="1172"/>
      <c r="E117" s="1173"/>
      <c r="F117" s="1174" t="s">
        <v>46</v>
      </c>
      <c r="G117" s="1140" t="s">
        <v>163</v>
      </c>
      <c r="H117" s="1176"/>
      <c r="I117" s="1177" t="s">
        <v>111</v>
      </c>
      <c r="J117" s="1178">
        <v>3000000000</v>
      </c>
      <c r="K117" s="1178">
        <v>3000000000</v>
      </c>
      <c r="L117" s="1178">
        <v>3000000000</v>
      </c>
      <c r="M117" s="1179">
        <v>3000000000</v>
      </c>
      <c r="N117" s="1180"/>
      <c r="O117" s="1180"/>
      <c r="P117" s="1180"/>
      <c r="Q117" s="1200"/>
      <c r="R117" s="1180"/>
      <c r="T117" s="1444"/>
      <c r="U117" s="1444"/>
      <c r="V117" s="1444"/>
    </row>
    <row r="118" spans="2:22" s="1213" customFormat="1" ht="12" customHeight="1" x14ac:dyDescent="0.25">
      <c r="B118" s="1170"/>
      <c r="C118" s="1209"/>
      <c r="D118" s="1210"/>
      <c r="E118" s="1215"/>
      <c r="F118" s="1216" t="s">
        <v>46</v>
      </c>
      <c r="G118" s="1140" t="s">
        <v>164</v>
      </c>
      <c r="H118" s="1217"/>
      <c r="I118" s="1177" t="s">
        <v>165</v>
      </c>
      <c r="J118" s="1178">
        <v>3500000000</v>
      </c>
      <c r="K118" s="1178">
        <v>3500000000</v>
      </c>
      <c r="L118" s="1178">
        <v>3500000000</v>
      </c>
      <c r="M118" s="1179">
        <v>3500000000</v>
      </c>
      <c r="N118" s="1211"/>
      <c r="O118" s="1211"/>
      <c r="P118" s="1211"/>
      <c r="Q118" s="1212"/>
      <c r="R118" s="1211"/>
      <c r="T118" s="1447"/>
      <c r="U118" s="1447"/>
      <c r="V118" s="1447"/>
    </row>
    <row r="119" spans="2:22" s="192" customFormat="1" ht="18" hidden="1" customHeight="1" x14ac:dyDescent="0.25">
      <c r="B119" s="182"/>
      <c r="C119" s="183"/>
      <c r="D119" s="184"/>
      <c r="E119" s="754"/>
      <c r="F119" s="757"/>
      <c r="G119" s="139" t="s">
        <v>162</v>
      </c>
      <c r="H119" s="601"/>
      <c r="I119" s="176" t="s">
        <v>395</v>
      </c>
      <c r="J119" s="635"/>
      <c r="K119" s="635"/>
      <c r="L119" s="635"/>
      <c r="M119" s="177"/>
      <c r="N119" s="191"/>
      <c r="O119" s="191"/>
      <c r="P119" s="191"/>
      <c r="Q119" s="587" t="s">
        <v>166</v>
      </c>
      <c r="R119" s="191">
        <v>450000000</v>
      </c>
      <c r="S119" s="192" t="s">
        <v>166</v>
      </c>
      <c r="T119" s="1446"/>
      <c r="U119" s="1446"/>
      <c r="V119" s="1446"/>
    </row>
    <row r="120" spans="2:22" s="62" customFormat="1" ht="27" customHeight="1" x14ac:dyDescent="0.25">
      <c r="B120" s="59"/>
      <c r="C120" s="39"/>
      <c r="D120" s="140"/>
      <c r="E120" s="749" t="s">
        <v>445</v>
      </c>
      <c r="F120" s="1582" t="s">
        <v>167</v>
      </c>
      <c r="G120" s="1583"/>
      <c r="H120" s="469" t="s">
        <v>168</v>
      </c>
      <c r="I120" s="756" t="s">
        <v>541</v>
      </c>
      <c r="J120" s="1422">
        <f>SUM(J121:J125)</f>
        <v>11065000000</v>
      </c>
      <c r="K120" s="1422">
        <f>SUM(K121:K125)</f>
        <v>11065000000</v>
      </c>
      <c r="L120" s="1422">
        <f>SUM(L121:L125)</f>
        <v>11565000000</v>
      </c>
      <c r="M120" s="1423">
        <f>SUM(M121:M125)</f>
        <v>11865000000</v>
      </c>
      <c r="N120" s="999"/>
      <c r="O120" s="999"/>
      <c r="P120" s="147"/>
      <c r="Q120" s="589"/>
      <c r="R120" s="118"/>
      <c r="S120" s="179"/>
      <c r="T120" s="731"/>
      <c r="U120" s="731"/>
      <c r="V120" s="731"/>
    </row>
    <row r="121" spans="2:22" s="1182" customFormat="1" ht="11.25" customHeight="1" x14ac:dyDescent="0.25">
      <c r="B121" s="1170"/>
      <c r="C121" s="1171"/>
      <c r="D121" s="1172"/>
      <c r="E121" s="1173"/>
      <c r="F121" s="1174" t="s">
        <v>46</v>
      </c>
      <c r="G121" s="1175" t="s">
        <v>150</v>
      </c>
      <c r="H121" s="1176"/>
      <c r="I121" s="1203" t="s">
        <v>540</v>
      </c>
      <c r="J121" s="1178">
        <f>4000000000+215000000</f>
        <v>4215000000</v>
      </c>
      <c r="K121" s="1178">
        <f>4000000000+215000000</f>
        <v>4215000000</v>
      </c>
      <c r="L121" s="1178">
        <f>4000000000+215000000</f>
        <v>4215000000</v>
      </c>
      <c r="M121" s="1179">
        <f>4000000000+215000000</f>
        <v>4215000000</v>
      </c>
      <c r="N121" s="1180"/>
      <c r="O121" s="1180"/>
      <c r="P121" s="1180"/>
      <c r="Q121" s="1200"/>
      <c r="R121" s="1180"/>
      <c r="T121" s="1444"/>
      <c r="U121" s="1444"/>
      <c r="V121" s="1444"/>
    </row>
    <row r="122" spans="2:22" s="1182" customFormat="1" ht="11.25" customHeight="1" x14ac:dyDescent="0.25">
      <c r="B122" s="1170"/>
      <c r="C122" s="1171"/>
      <c r="D122" s="1172"/>
      <c r="E122" s="1173"/>
      <c r="F122" s="1174" t="s">
        <v>46</v>
      </c>
      <c r="G122" s="1175" t="s">
        <v>525</v>
      </c>
      <c r="H122" s="1176"/>
      <c r="I122" s="1203" t="s">
        <v>148</v>
      </c>
      <c r="J122" s="1178">
        <v>6000000000</v>
      </c>
      <c r="K122" s="1178">
        <v>6000000000</v>
      </c>
      <c r="L122" s="1178">
        <v>6000000000</v>
      </c>
      <c r="M122" s="1179">
        <v>6000000000</v>
      </c>
      <c r="N122" s="1180"/>
      <c r="O122" s="1180"/>
      <c r="P122" s="1180"/>
      <c r="Q122" s="1200"/>
      <c r="R122" s="1180"/>
      <c r="T122" s="1444"/>
      <c r="U122" s="1444"/>
      <c r="V122" s="1444"/>
    </row>
    <row r="123" spans="2:22" s="1182" customFormat="1" ht="11.25" customHeight="1" x14ac:dyDescent="0.25">
      <c r="B123" s="1206"/>
      <c r="C123" s="1171"/>
      <c r="D123" s="1172"/>
      <c r="E123" s="1207"/>
      <c r="F123" s="1218" t="s">
        <v>46</v>
      </c>
      <c r="G123" s="1175" t="s">
        <v>546</v>
      </c>
      <c r="H123" s="1176"/>
      <c r="I123" s="1219" t="s">
        <v>111</v>
      </c>
      <c r="J123" s="1424">
        <v>850000000</v>
      </c>
      <c r="K123" s="1424">
        <v>850000000</v>
      </c>
      <c r="L123" s="1424">
        <f>500000000+850000000</f>
        <v>1350000000</v>
      </c>
      <c r="M123" s="1425">
        <f>500000000+850000000+300000000</f>
        <v>1650000000</v>
      </c>
      <c r="N123" s="1205"/>
      <c r="O123" s="1205"/>
      <c r="P123" s="1180"/>
      <c r="Q123" s="1200"/>
      <c r="R123" s="1180"/>
      <c r="T123" s="1444">
        <v>2350000000</v>
      </c>
      <c r="U123" s="1444"/>
      <c r="V123" s="1444"/>
    </row>
    <row r="124" spans="2:22" s="192" customFormat="1" ht="15.75" hidden="1" customHeight="1" x14ac:dyDescent="0.25">
      <c r="B124" s="182"/>
      <c r="C124" s="183"/>
      <c r="D124" s="184"/>
      <c r="E124" s="129"/>
      <c r="F124" s="704" t="s">
        <v>46</v>
      </c>
      <c r="G124" s="175" t="s">
        <v>170</v>
      </c>
      <c r="H124" s="602"/>
      <c r="I124" s="705" t="s">
        <v>401</v>
      </c>
      <c r="J124" s="635"/>
      <c r="K124" s="635"/>
      <c r="L124" s="635"/>
      <c r="M124" s="177"/>
      <c r="N124" s="191"/>
      <c r="O124" s="191"/>
      <c r="P124" s="191"/>
      <c r="Q124" s="587" t="s">
        <v>134</v>
      </c>
      <c r="R124" s="191">
        <v>850000000</v>
      </c>
      <c r="S124" s="192" t="s">
        <v>134</v>
      </c>
      <c r="T124" s="1446"/>
      <c r="U124" s="1446"/>
      <c r="V124" s="1446"/>
    </row>
    <row r="125" spans="2:22" s="192" customFormat="1" ht="15.75" hidden="1" customHeight="1" x14ac:dyDescent="0.25">
      <c r="B125" s="182"/>
      <c r="C125" s="183"/>
      <c r="D125" s="184"/>
      <c r="E125" s="129"/>
      <c r="F125" s="704" t="s">
        <v>46</v>
      </c>
      <c r="G125" s="175" t="s">
        <v>150</v>
      </c>
      <c r="H125" s="602"/>
      <c r="I125" s="1139" t="s">
        <v>402</v>
      </c>
      <c r="J125" s="635"/>
      <c r="K125" s="635"/>
      <c r="L125" s="635"/>
      <c r="M125" s="177"/>
      <c r="N125" s="191"/>
      <c r="O125" s="191"/>
      <c r="P125" s="191"/>
      <c r="Q125" s="587" t="s">
        <v>171</v>
      </c>
      <c r="R125" s="191">
        <v>215000000</v>
      </c>
      <c r="S125" s="192" t="s">
        <v>171</v>
      </c>
      <c r="T125" s="1446"/>
      <c r="U125" s="1446"/>
      <c r="V125" s="1446"/>
    </row>
    <row r="126" spans="2:22" s="62" customFormat="1" ht="31.5" customHeight="1" x14ac:dyDescent="0.25">
      <c r="B126" s="59"/>
      <c r="C126" s="39"/>
      <c r="D126" s="109"/>
      <c r="E126" s="88" t="s">
        <v>446</v>
      </c>
      <c r="F126" s="1577" t="s">
        <v>172</v>
      </c>
      <c r="G126" s="1578"/>
      <c r="H126" s="173" t="s">
        <v>173</v>
      </c>
      <c r="I126" s="200" t="str">
        <f>I127</f>
        <v>2,5 Km</v>
      </c>
      <c r="J126" s="630">
        <f>J127</f>
        <v>3000000000</v>
      </c>
      <c r="K126" s="630">
        <f>K127</f>
        <v>9000000000</v>
      </c>
      <c r="L126" s="630">
        <f>L127</f>
        <v>3000000000</v>
      </c>
      <c r="M126" s="1459">
        <f>M127</f>
        <v>6000000000</v>
      </c>
      <c r="N126" s="147"/>
      <c r="O126" s="147"/>
      <c r="P126" s="147"/>
      <c r="Q126" s="586"/>
      <c r="R126" s="118"/>
      <c r="T126" s="731"/>
      <c r="U126" s="731"/>
      <c r="V126" s="731"/>
    </row>
    <row r="127" spans="2:22" s="1182" customFormat="1" ht="11.25" customHeight="1" x14ac:dyDescent="0.25">
      <c r="B127" s="1170"/>
      <c r="C127" s="1171"/>
      <c r="D127" s="1172"/>
      <c r="E127" s="1173"/>
      <c r="F127" s="1183" t="s">
        <v>46</v>
      </c>
      <c r="G127" s="1175" t="s">
        <v>175</v>
      </c>
      <c r="H127" s="1176"/>
      <c r="I127" s="1177" t="s">
        <v>109</v>
      </c>
      <c r="J127" s="1220">
        <v>3000000000</v>
      </c>
      <c r="K127" s="1221">
        <f>3000000000+6000000000</f>
        <v>9000000000</v>
      </c>
      <c r="L127" s="1220">
        <v>3000000000</v>
      </c>
      <c r="M127" s="1222">
        <f>3000000000+6000000000-3000000000</f>
        <v>6000000000</v>
      </c>
      <c r="N127" s="1223"/>
      <c r="O127" s="1223"/>
      <c r="P127" s="1223"/>
      <c r="Q127" s="1200"/>
      <c r="R127" s="1223"/>
      <c r="T127" s="1444"/>
      <c r="U127" s="1444"/>
      <c r="V127" s="1444"/>
    </row>
    <row r="128" spans="2:22" s="113" customFormat="1" ht="29.25" customHeight="1" x14ac:dyDescent="0.25">
      <c r="B128" s="59"/>
      <c r="C128" s="39"/>
      <c r="D128" s="109"/>
      <c r="E128" s="88" t="s">
        <v>447</v>
      </c>
      <c r="F128" s="1577" t="s">
        <v>176</v>
      </c>
      <c r="G128" s="1578"/>
      <c r="H128" s="173" t="s">
        <v>177</v>
      </c>
      <c r="I128" s="200" t="str">
        <f>I129</f>
        <v>1,25 Km</v>
      </c>
      <c r="J128" s="625">
        <f>SUM(J129)</f>
        <v>5000000000</v>
      </c>
      <c r="K128" s="625">
        <f>SUM(K129)</f>
        <v>5000000000</v>
      </c>
      <c r="L128" s="625">
        <f>SUM(L129)</f>
        <v>5000000000</v>
      </c>
      <c r="M128" s="111">
        <f>SUM(M129)</f>
        <v>5000000000</v>
      </c>
      <c r="N128" s="112"/>
      <c r="O128" s="112"/>
      <c r="P128" s="112"/>
      <c r="Q128" s="585"/>
      <c r="R128" s="112"/>
      <c r="T128" s="926"/>
      <c r="U128" s="926"/>
      <c r="V128" s="926"/>
    </row>
    <row r="129" spans="2:22" s="1182" customFormat="1" ht="11.25" customHeight="1" x14ac:dyDescent="0.25">
      <c r="B129" s="1170"/>
      <c r="C129" s="1171"/>
      <c r="D129" s="1172"/>
      <c r="E129" s="1224"/>
      <c r="F129" s="1183" t="s">
        <v>46</v>
      </c>
      <c r="G129" s="1175" t="s">
        <v>178</v>
      </c>
      <c r="H129" s="1176"/>
      <c r="I129" s="1225" t="s">
        <v>542</v>
      </c>
      <c r="J129" s="1226">
        <v>5000000000</v>
      </c>
      <c r="K129" s="1226">
        <v>5000000000</v>
      </c>
      <c r="L129" s="1226">
        <v>5000000000</v>
      </c>
      <c r="M129" s="1227">
        <v>5000000000</v>
      </c>
      <c r="N129" s="1228"/>
      <c r="O129" s="1228"/>
      <c r="P129" s="1228"/>
      <c r="Q129" s="1200"/>
      <c r="R129" s="1229"/>
      <c r="T129" s="1444"/>
      <c r="U129" s="1444"/>
      <c r="V129" s="1444"/>
    </row>
    <row r="130" spans="2:22" s="113" customFormat="1" ht="24" customHeight="1" x14ac:dyDescent="0.25">
      <c r="B130" s="59"/>
      <c r="C130" s="39"/>
      <c r="D130" s="109"/>
      <c r="E130" s="88" t="s">
        <v>389</v>
      </c>
      <c r="F130" s="1577" t="s">
        <v>179</v>
      </c>
      <c r="G130" s="1578"/>
      <c r="H130" s="173" t="s">
        <v>180</v>
      </c>
      <c r="I130" s="200" t="str">
        <f>I131</f>
        <v>1,5 Km</v>
      </c>
      <c r="J130" s="625">
        <f>SUM(J131)</f>
        <v>12000000000</v>
      </c>
      <c r="K130" s="625">
        <f>SUM(K131)</f>
        <v>12000000000</v>
      </c>
      <c r="L130" s="625">
        <f>SUM(L131)</f>
        <v>12000000000</v>
      </c>
      <c r="M130" s="111">
        <f>SUM(M131)</f>
        <v>12000000000</v>
      </c>
      <c r="N130" s="112"/>
      <c r="O130" s="112"/>
      <c r="P130" s="112"/>
      <c r="Q130" s="585"/>
      <c r="R130" s="112"/>
      <c r="T130" s="926"/>
      <c r="U130" s="926"/>
      <c r="V130" s="926"/>
    </row>
    <row r="131" spans="2:22" s="1182" customFormat="1" ht="11.25" customHeight="1" x14ac:dyDescent="0.25">
      <c r="B131" s="1170"/>
      <c r="C131" s="1171"/>
      <c r="D131" s="1172"/>
      <c r="E131" s="1173"/>
      <c r="F131" s="1183" t="s">
        <v>46</v>
      </c>
      <c r="G131" s="1230" t="s">
        <v>468</v>
      </c>
      <c r="H131" s="1176"/>
      <c r="I131" s="1177" t="s">
        <v>148</v>
      </c>
      <c r="J131" s="1178">
        <v>12000000000</v>
      </c>
      <c r="K131" s="1178">
        <v>12000000000</v>
      </c>
      <c r="L131" s="1178">
        <v>12000000000</v>
      </c>
      <c r="M131" s="1179">
        <v>12000000000</v>
      </c>
      <c r="N131" s="1180"/>
      <c r="O131" s="1180"/>
      <c r="P131" s="1180"/>
      <c r="Q131" s="1200"/>
      <c r="R131" s="1180"/>
      <c r="T131" s="1444"/>
      <c r="U131" s="1444"/>
      <c r="V131" s="1444"/>
    </row>
    <row r="132" spans="2:22" s="62" customFormat="1" ht="27.75" customHeight="1" x14ac:dyDescent="0.25">
      <c r="B132" s="59"/>
      <c r="C132" s="39"/>
      <c r="D132" s="109"/>
      <c r="E132" s="88" t="s">
        <v>448</v>
      </c>
      <c r="F132" s="1577" t="s">
        <v>181</v>
      </c>
      <c r="G132" s="1578"/>
      <c r="H132" s="173" t="s">
        <v>182</v>
      </c>
      <c r="I132" s="200" t="s">
        <v>543</v>
      </c>
      <c r="J132" s="1426">
        <f>SUM(J133:J136)</f>
        <v>8700000000</v>
      </c>
      <c r="K132" s="1426">
        <f>SUM(K133:K136)</f>
        <v>8700000000</v>
      </c>
      <c r="L132" s="1426">
        <f>SUM(L133:L136)</f>
        <v>8700000000</v>
      </c>
      <c r="M132" s="1427">
        <f>SUM(M133:M136)</f>
        <v>12700000000</v>
      </c>
      <c r="N132" s="118"/>
      <c r="O132" s="118"/>
      <c r="P132" s="118"/>
      <c r="Q132" s="589"/>
      <c r="R132" s="118"/>
      <c r="S132" s="179"/>
      <c r="T132" s="731"/>
      <c r="U132" s="731"/>
      <c r="V132" s="731"/>
    </row>
    <row r="133" spans="2:22" s="1182" customFormat="1" ht="11.25" customHeight="1" x14ac:dyDescent="0.25">
      <c r="B133" s="1170"/>
      <c r="C133" s="1171"/>
      <c r="D133" s="1172"/>
      <c r="E133" s="1173"/>
      <c r="F133" s="1174" t="s">
        <v>46</v>
      </c>
      <c r="G133" s="1175" t="s">
        <v>424</v>
      </c>
      <c r="H133" s="1176"/>
      <c r="I133" s="1177" t="s">
        <v>451</v>
      </c>
      <c r="J133" s="1178">
        <v>3000000000</v>
      </c>
      <c r="K133" s="1178">
        <v>3000000000</v>
      </c>
      <c r="L133" s="1178">
        <v>3000000000</v>
      </c>
      <c r="M133" s="1179">
        <v>3000000000</v>
      </c>
      <c r="N133" s="1180"/>
      <c r="O133" s="1180"/>
      <c r="P133" s="1180"/>
      <c r="Q133" s="1200"/>
      <c r="R133" s="1180"/>
      <c r="T133" s="1444"/>
      <c r="U133" s="1444"/>
      <c r="V133" s="1444"/>
    </row>
    <row r="134" spans="2:22" s="1182" customFormat="1" ht="11.25" customHeight="1" x14ac:dyDescent="0.25">
      <c r="B134" s="1170"/>
      <c r="C134" s="1171"/>
      <c r="D134" s="1172"/>
      <c r="E134" s="1173"/>
      <c r="F134" s="1174" t="s">
        <v>46</v>
      </c>
      <c r="G134" s="1175" t="s">
        <v>183</v>
      </c>
      <c r="H134" s="1176"/>
      <c r="I134" s="1231" t="s">
        <v>148</v>
      </c>
      <c r="J134" s="1424">
        <f>500000000+4000000000+1200000000</f>
        <v>5700000000</v>
      </c>
      <c r="K134" s="1424">
        <f>500000000+4000000000+1200000000</f>
        <v>5700000000</v>
      </c>
      <c r="L134" s="1424">
        <f>500000000+4000000000+1200000000</f>
        <v>5700000000</v>
      </c>
      <c r="M134" s="1425">
        <f>500000000+4000000000+1200000000+4000000000</f>
        <v>9700000000</v>
      </c>
      <c r="N134" s="1180"/>
      <c r="O134" s="1180"/>
      <c r="P134" s="1180"/>
      <c r="Q134" s="1200"/>
      <c r="R134" s="1180"/>
      <c r="T134" s="1444"/>
      <c r="U134" s="1444"/>
      <c r="V134" s="1444"/>
    </row>
    <row r="135" spans="2:22" s="192" customFormat="1" hidden="1" x14ac:dyDescent="0.25">
      <c r="B135" s="59"/>
      <c r="C135" s="183"/>
      <c r="D135" s="184"/>
      <c r="E135" s="206"/>
      <c r="F135" s="221" t="s">
        <v>46</v>
      </c>
      <c r="G135" s="208" t="s">
        <v>183</v>
      </c>
      <c r="H135" s="603"/>
      <c r="I135" s="203" t="s">
        <v>159</v>
      </c>
      <c r="J135" s="636"/>
      <c r="K135" s="636"/>
      <c r="L135" s="636"/>
      <c r="M135" s="190"/>
      <c r="N135" s="191"/>
      <c r="O135" s="191"/>
      <c r="P135" s="191"/>
      <c r="Q135" s="587" t="s">
        <v>184</v>
      </c>
      <c r="R135" s="191">
        <v>4000000000</v>
      </c>
      <c r="S135" s="192" t="s">
        <v>184</v>
      </c>
      <c r="T135" s="1446"/>
      <c r="U135" s="1446"/>
      <c r="V135" s="1446"/>
    </row>
    <row r="136" spans="2:22" s="192" customFormat="1" hidden="1" x14ac:dyDescent="0.25">
      <c r="B136" s="182"/>
      <c r="C136" s="183"/>
      <c r="D136" s="184"/>
      <c r="E136" s="222"/>
      <c r="F136" s="223" t="s">
        <v>46</v>
      </c>
      <c r="G136" s="208" t="s">
        <v>183</v>
      </c>
      <c r="H136" s="606"/>
      <c r="I136" s="478" t="s">
        <v>174</v>
      </c>
      <c r="J136" s="636"/>
      <c r="K136" s="636"/>
      <c r="L136" s="636"/>
      <c r="M136" s="190"/>
      <c r="N136" s="191"/>
      <c r="O136" s="191"/>
      <c r="P136" s="191"/>
      <c r="Q136" s="587" t="s">
        <v>185</v>
      </c>
      <c r="R136" s="191">
        <v>1200000000</v>
      </c>
      <c r="S136" s="192" t="s">
        <v>185</v>
      </c>
      <c r="T136" s="1446"/>
      <c r="U136" s="1446"/>
      <c r="V136" s="1446"/>
    </row>
    <row r="137" spans="2:22" s="29" customFormat="1" ht="26.25" customHeight="1" x14ac:dyDescent="0.25">
      <c r="B137" s="13"/>
      <c r="C137" s="39"/>
      <c r="D137" s="109"/>
      <c r="E137" s="88" t="s">
        <v>449</v>
      </c>
      <c r="F137" s="1579" t="s">
        <v>186</v>
      </c>
      <c r="G137" s="1580"/>
      <c r="H137" s="173" t="s">
        <v>187</v>
      </c>
      <c r="I137" s="224" t="s">
        <v>109</v>
      </c>
      <c r="J137" s="630">
        <f>SUM(J138:J141)</f>
        <v>11500000000</v>
      </c>
      <c r="K137" s="630">
        <f>SUM(K138:K141)</f>
        <v>11500000000</v>
      </c>
      <c r="L137" s="630">
        <f>SUM(L138:L141)</f>
        <v>11500000000</v>
      </c>
      <c r="M137" s="1474">
        <f>SUM(M138:M141)</f>
        <v>9400000000</v>
      </c>
      <c r="N137" s="147"/>
      <c r="O137" s="147"/>
      <c r="P137" s="147"/>
      <c r="Q137" s="590"/>
      <c r="R137" s="118"/>
      <c r="T137" s="396"/>
      <c r="U137" s="396"/>
      <c r="V137" s="396"/>
    </row>
    <row r="138" spans="2:22" s="1182" customFormat="1" ht="11.25" customHeight="1" x14ac:dyDescent="0.25">
      <c r="B138" s="1170"/>
      <c r="C138" s="1171"/>
      <c r="D138" s="1172"/>
      <c r="E138" s="1173"/>
      <c r="F138" s="1232" t="s">
        <v>46</v>
      </c>
      <c r="G138" s="1140" t="s">
        <v>423</v>
      </c>
      <c r="H138" s="1176"/>
      <c r="I138" s="1177" t="s">
        <v>111</v>
      </c>
      <c r="J138" s="1233">
        <f>2000000000+1000000000+1000000000</f>
        <v>4000000000</v>
      </c>
      <c r="K138" s="1233">
        <f>2000000000+1000000000+1000000000</f>
        <v>4000000000</v>
      </c>
      <c r="L138" s="1233">
        <f>2000000000+1000000000+1000000000</f>
        <v>4000000000</v>
      </c>
      <c r="M138" s="1234">
        <f>2000000000+1000000000+1000000000</f>
        <v>4000000000</v>
      </c>
      <c r="N138" s="1235"/>
      <c r="O138" s="1235"/>
      <c r="P138" s="1235"/>
      <c r="Q138" s="1200"/>
      <c r="R138" s="1223"/>
      <c r="T138" s="1444"/>
      <c r="U138" s="1444"/>
      <c r="V138" s="1444"/>
    </row>
    <row r="139" spans="2:22" s="1182" customFormat="1" ht="11.25" customHeight="1" x14ac:dyDescent="0.25">
      <c r="B139" s="1170"/>
      <c r="C139" s="1171"/>
      <c r="D139" s="1172"/>
      <c r="E139" s="1173"/>
      <c r="F139" s="1183" t="s">
        <v>46</v>
      </c>
      <c r="G139" s="1202" t="s">
        <v>140</v>
      </c>
      <c r="H139" s="1176"/>
      <c r="I139" s="1203" t="s">
        <v>148</v>
      </c>
      <c r="J139" s="1178">
        <v>7500000000</v>
      </c>
      <c r="K139" s="1178">
        <v>7500000000</v>
      </c>
      <c r="L139" s="1178">
        <v>7500000000</v>
      </c>
      <c r="M139" s="1179">
        <f>7500000000-3000000000+900000000</f>
        <v>5400000000</v>
      </c>
      <c r="N139" s="1180"/>
      <c r="O139" s="1180"/>
      <c r="P139" s="1180"/>
      <c r="Q139" s="1200"/>
      <c r="R139" s="1180"/>
      <c r="T139" s="1444"/>
      <c r="U139" s="1444"/>
      <c r="V139" s="1444"/>
    </row>
    <row r="140" spans="2:22" s="192" customFormat="1" ht="15" hidden="1" customHeight="1" x14ac:dyDescent="0.25">
      <c r="B140" s="182"/>
      <c r="C140" s="183"/>
      <c r="D140" s="184"/>
      <c r="E140" s="185"/>
      <c r="F140" s="186"/>
      <c r="G140" s="202" t="s">
        <v>188</v>
      </c>
      <c r="H140" s="603"/>
      <c r="I140" s="203" t="s">
        <v>144</v>
      </c>
      <c r="J140" s="636"/>
      <c r="K140" s="636"/>
      <c r="L140" s="636"/>
      <c r="M140" s="190"/>
      <c r="N140" s="191"/>
      <c r="O140" s="191"/>
      <c r="P140" s="191"/>
      <c r="Q140" s="587" t="s">
        <v>421</v>
      </c>
      <c r="R140" s="191">
        <v>1000000000</v>
      </c>
      <c r="S140" s="192" t="s">
        <v>421</v>
      </c>
      <c r="T140" s="1446"/>
      <c r="U140" s="1446"/>
      <c r="V140" s="1446"/>
    </row>
    <row r="141" spans="2:22" s="192" customFormat="1" ht="15" hidden="1" customHeight="1" x14ac:dyDescent="0.25">
      <c r="B141" s="182"/>
      <c r="C141" s="183"/>
      <c r="D141" s="184"/>
      <c r="E141" s="185"/>
      <c r="F141" s="186"/>
      <c r="G141" s="202" t="s">
        <v>188</v>
      </c>
      <c r="H141" s="603"/>
      <c r="I141" s="203" t="s">
        <v>144</v>
      </c>
      <c r="J141" s="636"/>
      <c r="K141" s="636"/>
      <c r="L141" s="636"/>
      <c r="M141" s="190"/>
      <c r="N141" s="191"/>
      <c r="O141" s="191"/>
      <c r="P141" s="191"/>
      <c r="Q141" s="587" t="s">
        <v>422</v>
      </c>
      <c r="R141" s="191">
        <v>1000000000</v>
      </c>
      <c r="S141" s="192" t="s">
        <v>422</v>
      </c>
      <c r="T141" s="1446"/>
      <c r="U141" s="1446"/>
      <c r="V141" s="1446"/>
    </row>
    <row r="142" spans="2:22" ht="3.75" customHeight="1" x14ac:dyDescent="0.25">
      <c r="C142" s="471"/>
      <c r="D142" s="375"/>
      <c r="E142" s="96"/>
      <c r="F142" s="472"/>
      <c r="G142" s="473"/>
      <c r="H142" s="474"/>
      <c r="I142" s="475"/>
      <c r="J142" s="640"/>
      <c r="K142" s="640"/>
      <c r="L142" s="640"/>
      <c r="M142" s="476"/>
      <c r="N142" s="1000"/>
      <c r="O142" s="1000"/>
      <c r="P142" s="228"/>
      <c r="Q142" s="594"/>
      <c r="R142" s="494"/>
      <c r="S142" s="229"/>
    </row>
    <row r="143" spans="2:22" s="15" customFormat="1" ht="22.5" customHeight="1" x14ac:dyDescent="0.25">
      <c r="B143" s="13"/>
      <c r="C143" s="1506" t="s">
        <v>452</v>
      </c>
      <c r="D143" s="1507"/>
      <c r="E143" s="1558" t="s">
        <v>189</v>
      </c>
      <c r="F143" s="1559"/>
      <c r="G143" s="1560"/>
      <c r="H143" s="231" t="s">
        <v>190</v>
      </c>
      <c r="I143" s="232"/>
      <c r="J143" s="641">
        <f>J144+J145+J146+J147+J151+J152+J153+J154+J155+J156+J157+J161+J162+J163+J164+J165+J166+J167</f>
        <v>61485840000</v>
      </c>
      <c r="K143" s="641">
        <f>K144+K145+K146+K147+K151+K152+K153+K154+K155+K156+K157+K161+K162+K163+K164+K165+K166+K167</f>
        <v>61485840000</v>
      </c>
      <c r="L143" s="641">
        <f>L144+L145+L146+L147+L151+L152+L153+L154+L155+L156+L157+L161+L162+L163+L164+L165+L166+L167</f>
        <v>58285840000</v>
      </c>
      <c r="M143" s="233">
        <f>M144+M145+M146+M147+M151+M152+M153+M154+M155+M156+M157+M161+M162+M163+M164+M165+M166+M167</f>
        <v>59285840000</v>
      </c>
      <c r="N143" s="1001"/>
      <c r="O143" s="1001"/>
      <c r="P143" s="26"/>
      <c r="Q143" s="596"/>
      <c r="R143" s="495"/>
      <c r="S143" s="234"/>
      <c r="T143" s="21"/>
      <c r="U143" s="21"/>
      <c r="V143" s="21"/>
    </row>
    <row r="144" spans="2:22" s="29" customFormat="1" ht="18" customHeight="1" x14ac:dyDescent="0.25">
      <c r="B144" s="13"/>
      <c r="C144" s="49"/>
      <c r="D144" s="79"/>
      <c r="E144" s="77" t="s">
        <v>5</v>
      </c>
      <c r="F144" s="1575" t="s">
        <v>191</v>
      </c>
      <c r="G144" s="1576"/>
      <c r="H144" s="1286" t="s">
        <v>192</v>
      </c>
      <c r="I144" s="236" t="s">
        <v>471</v>
      </c>
      <c r="J144" s="642">
        <v>2135760000</v>
      </c>
      <c r="K144" s="642">
        <v>2135760000</v>
      </c>
      <c r="L144" s="642">
        <v>2135760000</v>
      </c>
      <c r="M144" s="237">
        <f>2135760000</f>
        <v>2135760000</v>
      </c>
      <c r="N144" s="238"/>
      <c r="O144" s="238"/>
      <c r="P144" s="238"/>
      <c r="Q144" s="595"/>
      <c r="R144" s="496"/>
      <c r="S144" s="148"/>
      <c r="T144" s="396"/>
      <c r="U144" s="396"/>
      <c r="V144" s="396"/>
    </row>
    <row r="145" spans="2:22" s="29" customFormat="1" ht="21" customHeight="1" x14ac:dyDescent="0.25">
      <c r="B145" s="13"/>
      <c r="C145" s="49"/>
      <c r="D145" s="79"/>
      <c r="E145" s="77" t="s">
        <v>10</v>
      </c>
      <c r="F145" s="1569" t="s">
        <v>193</v>
      </c>
      <c r="G145" s="1570"/>
      <c r="H145" s="1286" t="s">
        <v>194</v>
      </c>
      <c r="I145" s="236" t="s">
        <v>403</v>
      </c>
      <c r="J145" s="642">
        <v>2422200000</v>
      </c>
      <c r="K145" s="642">
        <v>2422200000</v>
      </c>
      <c r="L145" s="642">
        <v>2422200000</v>
      </c>
      <c r="M145" s="237">
        <v>2422200000</v>
      </c>
      <c r="N145" s="238"/>
      <c r="O145" s="238"/>
      <c r="P145" s="238"/>
      <c r="Q145" s="591"/>
      <c r="R145" s="496"/>
      <c r="S145" s="63"/>
      <c r="T145" s="396"/>
      <c r="U145" s="396"/>
      <c r="V145" s="396"/>
    </row>
    <row r="146" spans="2:22" s="29" customFormat="1" ht="21.75" customHeight="1" x14ac:dyDescent="0.25">
      <c r="B146" s="13"/>
      <c r="C146" s="39"/>
      <c r="D146" s="140"/>
      <c r="E146" s="109" t="s">
        <v>13</v>
      </c>
      <c r="F146" s="1569" t="s">
        <v>195</v>
      </c>
      <c r="G146" s="1570"/>
      <c r="H146" s="1287" t="s">
        <v>196</v>
      </c>
      <c r="I146" s="240" t="s">
        <v>472</v>
      </c>
      <c r="J146" s="643">
        <v>2632740000</v>
      </c>
      <c r="K146" s="643">
        <v>2632740000</v>
      </c>
      <c r="L146" s="643">
        <v>2632740000</v>
      </c>
      <c r="M146" s="241">
        <v>2632740000</v>
      </c>
      <c r="N146" s="238"/>
      <c r="O146" s="238"/>
      <c r="P146" s="238"/>
      <c r="Q146" s="591"/>
      <c r="R146" s="496"/>
      <c r="S146" s="63"/>
      <c r="T146" s="396"/>
      <c r="U146" s="396"/>
      <c r="V146" s="396"/>
    </row>
    <row r="147" spans="2:22" s="29" customFormat="1" ht="21.75" customHeight="1" x14ac:dyDescent="0.25">
      <c r="B147" s="13"/>
      <c r="C147" s="39"/>
      <c r="D147" s="140"/>
      <c r="E147" s="109" t="s">
        <v>16</v>
      </c>
      <c r="F147" s="1569" t="s">
        <v>197</v>
      </c>
      <c r="G147" s="1570"/>
      <c r="H147" s="1287" t="s">
        <v>198</v>
      </c>
      <c r="I147" s="240" t="s">
        <v>199</v>
      </c>
      <c r="J147" s="1420">
        <f>SUM(J148:J150)</f>
        <v>3884440000</v>
      </c>
      <c r="K147" s="1420">
        <f>SUM(K148:K150)</f>
        <v>3884440000</v>
      </c>
      <c r="L147" s="1420">
        <f>SUM(L148:L150)</f>
        <v>3884440000</v>
      </c>
      <c r="M147" s="1421">
        <f>SUM(M148:M150)</f>
        <v>4684440000</v>
      </c>
      <c r="N147" s="238"/>
      <c r="O147" s="238"/>
      <c r="P147" s="238"/>
      <c r="Q147" s="589"/>
      <c r="R147" s="496"/>
      <c r="S147" s="179"/>
      <c r="T147" s="396"/>
      <c r="U147" s="396"/>
      <c r="V147" s="396"/>
    </row>
    <row r="148" spans="2:22" s="1249" customFormat="1" ht="13.5" customHeight="1" x14ac:dyDescent="0.25">
      <c r="B148" s="1236"/>
      <c r="C148" s="1237"/>
      <c r="D148" s="1238"/>
      <c r="E148" s="1239"/>
      <c r="F148" s="1240" t="s">
        <v>46</v>
      </c>
      <c r="G148" s="1241" t="s">
        <v>197</v>
      </c>
      <c r="H148" s="1242"/>
      <c r="I148" s="1243"/>
      <c r="J148" s="1244">
        <v>2684440000</v>
      </c>
      <c r="K148" s="1244">
        <v>2684440000</v>
      </c>
      <c r="L148" s="1244">
        <v>2684440000</v>
      </c>
      <c r="M148" s="1245">
        <f>2684440000+800000000</f>
        <v>3484440000</v>
      </c>
      <c r="N148" s="1246"/>
      <c r="O148" s="1246"/>
      <c r="P148" s="1247"/>
      <c r="Q148" s="1200"/>
      <c r="R148" s="1248"/>
      <c r="S148" s="1182"/>
      <c r="T148" s="1448"/>
      <c r="U148" s="1448"/>
      <c r="V148" s="1448"/>
    </row>
    <row r="149" spans="2:22" s="1264" customFormat="1" ht="24" customHeight="1" x14ac:dyDescent="0.25">
      <c r="B149" s="1250"/>
      <c r="C149" s="1251"/>
      <c r="D149" s="1252"/>
      <c r="E149" s="1253"/>
      <c r="F149" s="1254" t="s">
        <v>46</v>
      </c>
      <c r="G149" s="1255" t="s">
        <v>337</v>
      </c>
      <c r="H149" s="1256"/>
      <c r="I149" s="1257" t="s">
        <v>165</v>
      </c>
      <c r="J149" s="1258">
        <v>200000000</v>
      </c>
      <c r="K149" s="1258">
        <v>200000000</v>
      </c>
      <c r="L149" s="1258">
        <v>200000000</v>
      </c>
      <c r="M149" s="1259">
        <v>200000000</v>
      </c>
      <c r="N149" s="1260"/>
      <c r="O149" s="1260"/>
      <c r="P149" s="1261"/>
      <c r="Q149" s="1262" t="s">
        <v>338</v>
      </c>
      <c r="R149" s="1263">
        <v>200000000</v>
      </c>
      <c r="S149" s="1199" t="s">
        <v>338</v>
      </c>
      <c r="T149" s="1449"/>
      <c r="U149" s="1449"/>
      <c r="V149" s="1449"/>
    </row>
    <row r="150" spans="2:22" s="1264" customFormat="1" ht="11.25" customHeight="1" x14ac:dyDescent="0.25">
      <c r="B150" s="1250"/>
      <c r="C150" s="1265"/>
      <c r="D150" s="1188"/>
      <c r="E150" s="1266"/>
      <c r="F150" s="1267" t="s">
        <v>46</v>
      </c>
      <c r="G150" s="1268" t="s">
        <v>200</v>
      </c>
      <c r="H150" s="1269"/>
      <c r="I150" s="1270" t="s">
        <v>111</v>
      </c>
      <c r="J150" s="1271">
        <f>1000000000</f>
        <v>1000000000</v>
      </c>
      <c r="K150" s="1271">
        <f>1000000000</f>
        <v>1000000000</v>
      </c>
      <c r="L150" s="1271">
        <f>1000000000</f>
        <v>1000000000</v>
      </c>
      <c r="M150" s="1272">
        <f>1000000000</f>
        <v>1000000000</v>
      </c>
      <c r="N150" s="1273"/>
      <c r="O150" s="1273"/>
      <c r="P150" s="1273"/>
      <c r="Q150" s="1274" t="s">
        <v>420</v>
      </c>
      <c r="R150" s="1275">
        <v>1000000000</v>
      </c>
      <c r="S150" s="1276" t="s">
        <v>420</v>
      </c>
      <c r="T150" s="1449"/>
      <c r="U150" s="1449"/>
      <c r="V150" s="1449"/>
    </row>
    <row r="151" spans="2:22" s="29" customFormat="1" ht="24" customHeight="1" x14ac:dyDescent="0.25">
      <c r="B151" s="13"/>
      <c r="C151" s="39"/>
      <c r="D151" s="140"/>
      <c r="E151" s="109" t="s">
        <v>19</v>
      </c>
      <c r="F151" s="1569" t="s">
        <v>391</v>
      </c>
      <c r="G151" s="1570"/>
      <c r="H151" s="1287" t="s">
        <v>201</v>
      </c>
      <c r="I151" s="240" t="s">
        <v>474</v>
      </c>
      <c r="J151" s="643">
        <v>2770240000</v>
      </c>
      <c r="K151" s="643">
        <v>2770240000</v>
      </c>
      <c r="L151" s="643">
        <v>2770240000</v>
      </c>
      <c r="M151" s="241">
        <v>2770240000</v>
      </c>
      <c r="N151" s="238"/>
      <c r="O151" s="238"/>
      <c r="P151" s="238"/>
      <c r="Q151" s="526"/>
      <c r="R151" s="496"/>
      <c r="T151" s="396"/>
      <c r="U151" s="396"/>
      <c r="V151" s="396"/>
    </row>
    <row r="152" spans="2:22" s="29" customFormat="1" ht="27" customHeight="1" x14ac:dyDescent="0.25">
      <c r="B152" s="13"/>
      <c r="C152" s="39"/>
      <c r="D152" s="140"/>
      <c r="E152" s="109" t="s">
        <v>27</v>
      </c>
      <c r="F152" s="1569" t="s">
        <v>202</v>
      </c>
      <c r="G152" s="1570"/>
      <c r="H152" s="1287" t="s">
        <v>203</v>
      </c>
      <c r="I152" s="240" t="s">
        <v>475</v>
      </c>
      <c r="J152" s="643">
        <v>1778480000</v>
      </c>
      <c r="K152" s="643">
        <v>1778480000</v>
      </c>
      <c r="L152" s="643">
        <v>1778480000</v>
      </c>
      <c r="M152" s="241">
        <v>1778480000</v>
      </c>
      <c r="N152" s="238"/>
      <c r="O152" s="238"/>
      <c r="P152" s="238"/>
      <c r="Q152" s="526"/>
      <c r="R152" s="496"/>
      <c r="T152" s="396"/>
      <c r="U152" s="396"/>
      <c r="V152" s="396"/>
    </row>
    <row r="153" spans="2:22" s="29" customFormat="1" ht="18" customHeight="1" x14ac:dyDescent="0.25">
      <c r="B153" s="13"/>
      <c r="C153" s="39"/>
      <c r="D153" s="140"/>
      <c r="E153" s="109" t="s">
        <v>30</v>
      </c>
      <c r="F153" s="1569" t="s">
        <v>204</v>
      </c>
      <c r="G153" s="1570"/>
      <c r="H153" s="1287" t="s">
        <v>205</v>
      </c>
      <c r="I153" s="240" t="s">
        <v>476</v>
      </c>
      <c r="J153" s="1433">
        <v>2292620000</v>
      </c>
      <c r="K153" s="643">
        <v>2292620000</v>
      </c>
      <c r="L153" s="643">
        <v>2292620000</v>
      </c>
      <c r="M153" s="1432">
        <f>2292620000+200000000</f>
        <v>2492620000</v>
      </c>
      <c r="N153" s="238"/>
      <c r="O153" s="238"/>
      <c r="P153" s="238"/>
      <c r="Q153" s="526"/>
      <c r="R153" s="496"/>
      <c r="T153" s="396"/>
      <c r="U153" s="396"/>
      <c r="V153" s="396"/>
    </row>
    <row r="154" spans="2:22" s="29" customFormat="1" ht="19.5" customHeight="1" x14ac:dyDescent="0.25">
      <c r="B154" s="13"/>
      <c r="C154" s="39"/>
      <c r="D154" s="140"/>
      <c r="E154" s="109" t="s">
        <v>8</v>
      </c>
      <c r="F154" s="1569" t="s">
        <v>206</v>
      </c>
      <c r="G154" s="1570"/>
      <c r="H154" s="1287" t="s">
        <v>207</v>
      </c>
      <c r="I154" s="240" t="s">
        <v>477</v>
      </c>
      <c r="J154" s="643">
        <v>2560360000</v>
      </c>
      <c r="K154" s="643">
        <v>2560360000</v>
      </c>
      <c r="L154" s="643">
        <v>2560360000</v>
      </c>
      <c r="M154" s="241">
        <v>2560360000</v>
      </c>
      <c r="N154" s="238"/>
      <c r="O154" s="238"/>
      <c r="P154" s="238"/>
      <c r="Q154" s="526"/>
      <c r="R154" s="496"/>
      <c r="T154" s="396"/>
      <c r="U154" s="396"/>
      <c r="V154" s="396"/>
    </row>
    <row r="155" spans="2:22" s="29" customFormat="1" ht="28.5" customHeight="1" x14ac:dyDescent="0.25">
      <c r="B155" s="13"/>
      <c r="C155" s="39"/>
      <c r="D155" s="140"/>
      <c r="E155" s="109" t="s">
        <v>22</v>
      </c>
      <c r="F155" s="1569" t="s">
        <v>208</v>
      </c>
      <c r="G155" s="1570"/>
      <c r="H155" s="1287" t="s">
        <v>209</v>
      </c>
      <c r="I155" s="240" t="s">
        <v>478</v>
      </c>
      <c r="J155" s="643">
        <v>3006520000</v>
      </c>
      <c r="K155" s="643">
        <v>3006520000</v>
      </c>
      <c r="L155" s="643">
        <v>3006520000</v>
      </c>
      <c r="M155" s="241">
        <v>3006520000</v>
      </c>
      <c r="N155" s="238"/>
      <c r="O155" s="238"/>
      <c r="P155" s="238"/>
      <c r="Q155" s="526"/>
      <c r="R155" s="496"/>
      <c r="T155" s="396"/>
      <c r="U155" s="396"/>
      <c r="V155" s="396"/>
    </row>
    <row r="156" spans="2:22" s="29" customFormat="1" ht="21" customHeight="1" x14ac:dyDescent="0.25">
      <c r="B156" s="13"/>
      <c r="C156" s="39"/>
      <c r="D156" s="140"/>
      <c r="E156" s="109" t="s">
        <v>210</v>
      </c>
      <c r="F156" s="1569" t="s">
        <v>211</v>
      </c>
      <c r="G156" s="1570"/>
      <c r="H156" s="1287" t="s">
        <v>212</v>
      </c>
      <c r="I156" s="240" t="s">
        <v>473</v>
      </c>
      <c r="J156" s="643">
        <v>1980000000</v>
      </c>
      <c r="K156" s="643">
        <v>1980000000</v>
      </c>
      <c r="L156" s="643">
        <v>1980000000</v>
      </c>
      <c r="M156" s="241">
        <v>1980000000</v>
      </c>
      <c r="N156" s="238"/>
      <c r="O156" s="238"/>
      <c r="P156" s="238"/>
      <c r="Q156" s="526"/>
      <c r="R156" s="496"/>
      <c r="T156" s="396"/>
      <c r="U156" s="396"/>
      <c r="V156" s="396"/>
    </row>
    <row r="157" spans="2:22" s="29" customFormat="1" ht="27.75" customHeight="1" x14ac:dyDescent="0.25">
      <c r="B157" s="13"/>
      <c r="C157" s="39"/>
      <c r="D157" s="140"/>
      <c r="E157" s="109">
        <v>11</v>
      </c>
      <c r="F157" s="1569" t="s">
        <v>213</v>
      </c>
      <c r="G157" s="1570"/>
      <c r="H157" s="1287" t="s">
        <v>214</v>
      </c>
      <c r="I157" s="240" t="s">
        <v>479</v>
      </c>
      <c r="J157" s="643">
        <f>SUM(J158:J160)</f>
        <v>2022480000</v>
      </c>
      <c r="K157" s="643">
        <f>SUM(K158:K160)</f>
        <v>2022480000</v>
      </c>
      <c r="L157" s="643">
        <f>SUM(L158:L160)</f>
        <v>2022480000</v>
      </c>
      <c r="M157" s="241">
        <f>SUM(M158:M160)</f>
        <v>2022480000</v>
      </c>
      <c r="N157" s="238"/>
      <c r="O157" s="238"/>
      <c r="P157" s="238"/>
      <c r="Q157" s="526"/>
      <c r="R157" s="496"/>
      <c r="T157" s="396"/>
      <c r="U157" s="396"/>
      <c r="V157" s="396"/>
    </row>
    <row r="158" spans="2:22" s="1182" customFormat="1" ht="25.5" customHeight="1" x14ac:dyDescent="0.25">
      <c r="B158" s="1277"/>
      <c r="C158" s="1278"/>
      <c r="D158" s="1279"/>
      <c r="E158" s="1280"/>
      <c r="F158" s="1281" t="s">
        <v>46</v>
      </c>
      <c r="G158" s="1282" t="s">
        <v>213</v>
      </c>
      <c r="H158" s="1283"/>
      <c r="I158" s="1284"/>
      <c r="J158" s="1178">
        <v>1272480000</v>
      </c>
      <c r="K158" s="1178">
        <v>1272480000</v>
      </c>
      <c r="L158" s="1178">
        <v>1272480000</v>
      </c>
      <c r="M158" s="1179">
        <v>1272480000</v>
      </c>
      <c r="N158" s="1180"/>
      <c r="O158" s="1180"/>
      <c r="P158" s="1180"/>
      <c r="Q158" s="1285"/>
      <c r="R158" s="1180"/>
      <c r="T158" s="1444"/>
      <c r="U158" s="1444"/>
      <c r="V158" s="1444"/>
    </row>
    <row r="159" spans="2:22" s="1182" customFormat="1" ht="14.25" customHeight="1" x14ac:dyDescent="0.25">
      <c r="B159" s="1277"/>
      <c r="C159" s="1278"/>
      <c r="D159" s="1279"/>
      <c r="E159" s="1280"/>
      <c r="F159" s="1281" t="s">
        <v>46</v>
      </c>
      <c r="G159" s="1282" t="s">
        <v>486</v>
      </c>
      <c r="H159" s="1283"/>
      <c r="I159" s="1284" t="s">
        <v>540</v>
      </c>
      <c r="J159" s="1178">
        <f>250000000+500000000</f>
        <v>750000000</v>
      </c>
      <c r="K159" s="1178">
        <f t="shared" ref="K159:M159" si="1">250000000+500000000</f>
        <v>750000000</v>
      </c>
      <c r="L159" s="1178">
        <f t="shared" si="1"/>
        <v>750000000</v>
      </c>
      <c r="M159" s="1179">
        <f t="shared" si="1"/>
        <v>750000000</v>
      </c>
      <c r="N159" s="1180"/>
      <c r="O159" s="1180"/>
      <c r="P159" s="1180"/>
      <c r="Q159" s="1285"/>
      <c r="R159" s="1180"/>
      <c r="T159" s="1444"/>
      <c r="U159" s="1444"/>
      <c r="V159" s="1444"/>
    </row>
    <row r="160" spans="2:22" s="192" customFormat="1" ht="14.25" hidden="1" customHeight="1" x14ac:dyDescent="0.25">
      <c r="B160" s="267"/>
      <c r="C160" s="268"/>
      <c r="D160" s="254"/>
      <c r="E160" s="269"/>
      <c r="F160" s="255" t="s">
        <v>46</v>
      </c>
      <c r="G160" s="270" t="s">
        <v>450</v>
      </c>
      <c r="H160" s="1288"/>
      <c r="I160" s="271"/>
      <c r="J160" s="636"/>
      <c r="K160" s="636"/>
      <c r="L160" s="636"/>
      <c r="M160" s="190"/>
      <c r="N160" s="191"/>
      <c r="O160" s="191"/>
      <c r="P160" s="191"/>
      <c r="Q160" s="587" t="s">
        <v>428</v>
      </c>
      <c r="R160" s="191">
        <v>500000000</v>
      </c>
      <c r="S160" s="192" t="s">
        <v>428</v>
      </c>
      <c r="T160" s="1446"/>
      <c r="U160" s="1446"/>
      <c r="V160" s="1446"/>
    </row>
    <row r="161" spans="2:22" s="29" customFormat="1" ht="20.25" customHeight="1" x14ac:dyDescent="0.25">
      <c r="B161" s="13"/>
      <c r="C161" s="39"/>
      <c r="D161" s="140"/>
      <c r="E161" s="109">
        <v>12</v>
      </c>
      <c r="F161" s="1569" t="s">
        <v>215</v>
      </c>
      <c r="G161" s="1570"/>
      <c r="H161" s="1287" t="s">
        <v>216</v>
      </c>
      <c r="I161" s="240" t="s">
        <v>217</v>
      </c>
      <c r="J161" s="643">
        <f>500000000+300000000</f>
        <v>800000000</v>
      </c>
      <c r="K161" s="643">
        <f>500000000+300000000</f>
        <v>800000000</v>
      </c>
      <c r="L161" s="643">
        <f>500000000+300000000</f>
        <v>800000000</v>
      </c>
      <c r="M161" s="241">
        <f>500000000+300000000</f>
        <v>800000000</v>
      </c>
      <c r="N161" s="238"/>
      <c r="O161" s="238"/>
      <c r="P161" s="238"/>
      <c r="Q161" s="526"/>
      <c r="R161" s="496"/>
      <c r="T161" s="396"/>
      <c r="U161" s="396"/>
      <c r="V161" s="396"/>
    </row>
    <row r="162" spans="2:22" s="29" customFormat="1" ht="26.25" customHeight="1" x14ac:dyDescent="0.25">
      <c r="B162" s="13"/>
      <c r="C162" s="39"/>
      <c r="D162" s="140"/>
      <c r="E162" s="109">
        <v>13</v>
      </c>
      <c r="F162" s="1569" t="s">
        <v>218</v>
      </c>
      <c r="G162" s="1570"/>
      <c r="H162" s="1287" t="s">
        <v>219</v>
      </c>
      <c r="I162" s="240" t="s">
        <v>393</v>
      </c>
      <c r="J162" s="643">
        <v>4000000000</v>
      </c>
      <c r="K162" s="643">
        <v>4000000000</v>
      </c>
      <c r="L162" s="643">
        <v>4000000000</v>
      </c>
      <c r="M162" s="241">
        <v>4000000000</v>
      </c>
      <c r="N162" s="238"/>
      <c r="O162" s="238"/>
      <c r="P162" s="238"/>
      <c r="Q162" s="526"/>
      <c r="R162" s="496"/>
      <c r="T162" s="396"/>
      <c r="U162" s="396"/>
      <c r="V162" s="396"/>
    </row>
    <row r="163" spans="2:22" s="29" customFormat="1" ht="24" customHeight="1" x14ac:dyDescent="0.25">
      <c r="B163" s="13"/>
      <c r="C163" s="39"/>
      <c r="D163" s="140"/>
      <c r="E163" s="759">
        <v>14</v>
      </c>
      <c r="F163" s="1714" t="s">
        <v>229</v>
      </c>
      <c r="G163" s="1715"/>
      <c r="H163" s="1289" t="s">
        <v>230</v>
      </c>
      <c r="I163" s="761" t="s">
        <v>111</v>
      </c>
      <c r="J163" s="647">
        <f>2000000000-300000000</f>
        <v>1700000000</v>
      </c>
      <c r="K163" s="647">
        <f>2000000000-300000000</f>
        <v>1700000000</v>
      </c>
      <c r="L163" s="647">
        <v>0</v>
      </c>
      <c r="M163" s="274">
        <v>0</v>
      </c>
      <c r="N163" s="1004"/>
      <c r="O163" s="1004"/>
      <c r="P163" s="238"/>
      <c r="Q163" s="526"/>
      <c r="R163" s="496"/>
      <c r="T163" s="396"/>
      <c r="U163" s="396"/>
      <c r="V163" s="396"/>
    </row>
    <row r="164" spans="2:22" s="29" customFormat="1" ht="16.5" customHeight="1" x14ac:dyDescent="0.25">
      <c r="B164" s="13"/>
      <c r="C164" s="39"/>
      <c r="D164" s="140"/>
      <c r="E164" s="55">
        <v>15</v>
      </c>
      <c r="F164" s="1569" t="s">
        <v>225</v>
      </c>
      <c r="G164" s="1570"/>
      <c r="H164" s="1290" t="s">
        <v>226</v>
      </c>
      <c r="I164" s="273" t="s">
        <v>544</v>
      </c>
      <c r="J164" s="647">
        <f t="shared" ref="J164:M165" si="2">11000000000</f>
        <v>11000000000</v>
      </c>
      <c r="K164" s="647">
        <f t="shared" si="2"/>
        <v>11000000000</v>
      </c>
      <c r="L164" s="647">
        <f t="shared" si="2"/>
        <v>11000000000</v>
      </c>
      <c r="M164" s="274">
        <f t="shared" si="2"/>
        <v>11000000000</v>
      </c>
      <c r="N164" s="238"/>
      <c r="O164" s="238"/>
      <c r="P164" s="238"/>
      <c r="Q164" s="526"/>
      <c r="R164" s="496"/>
      <c r="T164" s="396"/>
      <c r="U164" s="396"/>
      <c r="V164" s="396"/>
    </row>
    <row r="165" spans="2:22" s="29" customFormat="1" ht="16.5" customHeight="1" x14ac:dyDescent="0.25">
      <c r="B165" s="13"/>
      <c r="C165" s="39"/>
      <c r="D165" s="140"/>
      <c r="E165" s="55">
        <v>16</v>
      </c>
      <c r="F165" s="1569" t="s">
        <v>227</v>
      </c>
      <c r="G165" s="1570"/>
      <c r="H165" s="1290" t="s">
        <v>228</v>
      </c>
      <c r="I165" s="273" t="s">
        <v>544</v>
      </c>
      <c r="J165" s="647">
        <f t="shared" si="2"/>
        <v>11000000000</v>
      </c>
      <c r="K165" s="647">
        <f t="shared" si="2"/>
        <v>11000000000</v>
      </c>
      <c r="L165" s="647">
        <f t="shared" si="2"/>
        <v>11000000000</v>
      </c>
      <c r="M165" s="274">
        <f>11000000000</f>
        <v>11000000000</v>
      </c>
      <c r="N165" s="238"/>
      <c r="O165" s="238"/>
      <c r="P165" s="238"/>
      <c r="Q165" s="526"/>
      <c r="R165" s="496"/>
      <c r="T165" s="396">
        <v>1750000000</v>
      </c>
      <c r="U165" s="396">
        <f>M165/T165</f>
        <v>6.2857142857142856</v>
      </c>
      <c r="V165" s="396"/>
    </row>
    <row r="166" spans="2:22" s="29" customFormat="1" ht="26.25" customHeight="1" x14ac:dyDescent="0.25">
      <c r="B166" s="13"/>
      <c r="C166" s="39"/>
      <c r="D166" s="140"/>
      <c r="E166" s="55">
        <v>17</v>
      </c>
      <c r="F166" s="1569" t="s">
        <v>223</v>
      </c>
      <c r="G166" s="1570"/>
      <c r="H166" s="1290" t="s">
        <v>415</v>
      </c>
      <c r="I166" s="713" t="s">
        <v>545</v>
      </c>
      <c r="J166" s="647">
        <v>4000000000</v>
      </c>
      <c r="K166" s="647">
        <v>4000000000</v>
      </c>
      <c r="L166" s="647">
        <v>4000000000</v>
      </c>
      <c r="M166" s="274">
        <v>4000000000</v>
      </c>
      <c r="N166" s="238"/>
      <c r="O166" s="238"/>
      <c r="P166" s="238"/>
      <c r="Q166" s="540"/>
      <c r="R166" s="496"/>
      <c r="T166" s="396"/>
      <c r="U166" s="396"/>
      <c r="V166" s="396"/>
    </row>
    <row r="167" spans="2:22" s="29" customFormat="1" ht="27.75" customHeight="1" x14ac:dyDescent="0.25">
      <c r="B167" s="13"/>
      <c r="C167" s="39"/>
      <c r="D167" s="140"/>
      <c r="E167" s="140">
        <v>18</v>
      </c>
      <c r="F167" s="1716" t="s">
        <v>220</v>
      </c>
      <c r="G167" s="1717"/>
      <c r="H167" s="1291" t="s">
        <v>221</v>
      </c>
      <c r="I167" s="764" t="s">
        <v>222</v>
      </c>
      <c r="J167" s="643">
        <v>1500000000</v>
      </c>
      <c r="K167" s="643">
        <v>1500000000</v>
      </c>
      <c r="L167" s="643">
        <v>0</v>
      </c>
      <c r="M167" s="241">
        <v>0</v>
      </c>
      <c r="N167" s="1004"/>
      <c r="O167" s="1004"/>
      <c r="P167" s="238"/>
      <c r="Q167" s="526"/>
      <c r="R167" s="496"/>
      <c r="T167" s="396"/>
      <c r="U167" s="396"/>
      <c r="V167" s="396"/>
    </row>
    <row r="168" spans="2:22" ht="4.5" customHeight="1" x14ac:dyDescent="0.25">
      <c r="C168" s="275"/>
      <c r="D168" s="276"/>
      <c r="E168" s="276"/>
      <c r="F168" s="1540"/>
      <c r="G168" s="1541"/>
      <c r="H168" s="279"/>
      <c r="I168" s="280"/>
      <c r="J168" s="648"/>
      <c r="K168" s="648"/>
      <c r="L168" s="648"/>
      <c r="M168" s="281"/>
      <c r="N168" s="993"/>
      <c r="O168" s="993"/>
      <c r="P168" s="101"/>
      <c r="Q168" s="528"/>
      <c r="R168" s="491"/>
    </row>
    <row r="169" spans="2:22" s="15" customFormat="1" ht="32.25" customHeight="1" x14ac:dyDescent="0.25">
      <c r="B169" s="13"/>
      <c r="C169" s="1501" t="s">
        <v>453</v>
      </c>
      <c r="D169" s="1502"/>
      <c r="E169" s="1558" t="s">
        <v>231</v>
      </c>
      <c r="F169" s="1559"/>
      <c r="G169" s="1560"/>
      <c r="H169" s="231" t="s">
        <v>232</v>
      </c>
      <c r="I169" s="282"/>
      <c r="J169" s="649">
        <f>J171+J170+J172</f>
        <v>1850000000</v>
      </c>
      <c r="K169" s="649">
        <f>K171+K170+K172</f>
        <v>1850000000</v>
      </c>
      <c r="L169" s="649">
        <f>L171+L170+L172</f>
        <v>1850000000</v>
      </c>
      <c r="M169" s="283">
        <f>M171+M170+M172</f>
        <v>2050000000</v>
      </c>
      <c r="N169" s="1005"/>
      <c r="O169" s="1005"/>
      <c r="P169" s="104"/>
      <c r="Q169" s="529"/>
      <c r="R169" s="14"/>
      <c r="S169" s="17"/>
      <c r="T169" s="21"/>
      <c r="U169" s="21"/>
      <c r="V169" s="21"/>
    </row>
    <row r="170" spans="2:22" s="29" customFormat="1" ht="18.75" customHeight="1" x14ac:dyDescent="0.25">
      <c r="B170" s="13"/>
      <c r="C170" s="39"/>
      <c r="D170" s="140"/>
      <c r="E170" s="109" t="s">
        <v>5</v>
      </c>
      <c r="F170" s="1567" t="s">
        <v>233</v>
      </c>
      <c r="G170" s="1568"/>
      <c r="H170" s="1292" t="s">
        <v>234</v>
      </c>
      <c r="I170" s="285">
        <v>1</v>
      </c>
      <c r="J170" s="1418">
        <v>1200000000</v>
      </c>
      <c r="K170" s="1418">
        <v>1200000000</v>
      </c>
      <c r="L170" s="1418">
        <v>1200000000</v>
      </c>
      <c r="M170" s="1419">
        <f>1200000000+200000000</f>
        <v>1400000000</v>
      </c>
      <c r="N170" s="1006"/>
      <c r="O170" s="1006"/>
      <c r="P170" s="7"/>
      <c r="Q170" s="530"/>
      <c r="R170" s="1129"/>
      <c r="T170" s="396"/>
      <c r="U170" s="396"/>
      <c r="V170" s="396"/>
    </row>
    <row r="171" spans="2:22" s="82" customFormat="1" ht="17.25" customHeight="1" x14ac:dyDescent="0.25">
      <c r="B171" s="59"/>
      <c r="C171" s="39"/>
      <c r="D171" s="140"/>
      <c r="E171" s="109" t="s">
        <v>10</v>
      </c>
      <c r="F171" s="1565" t="s">
        <v>235</v>
      </c>
      <c r="G171" s="1566"/>
      <c r="H171" s="1292" t="s">
        <v>234</v>
      </c>
      <c r="I171" s="285">
        <v>1</v>
      </c>
      <c r="J171" s="650">
        <v>350000000</v>
      </c>
      <c r="K171" s="650">
        <v>350000000</v>
      </c>
      <c r="L171" s="650">
        <v>350000000</v>
      </c>
      <c r="M171" s="286">
        <v>350000000</v>
      </c>
      <c r="N171" s="1006"/>
      <c r="O171" s="1006"/>
      <c r="P171" s="7"/>
      <c r="Q171" s="530"/>
      <c r="R171" s="1129"/>
      <c r="S171" s="136"/>
      <c r="T171" s="155"/>
      <c r="U171" s="155"/>
      <c r="V171" s="155"/>
    </row>
    <row r="172" spans="2:22" s="29" customFormat="1" ht="18" customHeight="1" x14ac:dyDescent="0.25">
      <c r="B172" s="13"/>
      <c r="C172" s="39"/>
      <c r="D172" s="140"/>
      <c r="E172" s="109" t="s">
        <v>13</v>
      </c>
      <c r="F172" s="1550" t="s">
        <v>236</v>
      </c>
      <c r="G172" s="1551"/>
      <c r="H172" s="1293" t="s">
        <v>237</v>
      </c>
      <c r="I172" s="477">
        <v>1</v>
      </c>
      <c r="J172" s="650">
        <v>300000000</v>
      </c>
      <c r="K172" s="650">
        <v>300000000</v>
      </c>
      <c r="L172" s="650">
        <v>300000000</v>
      </c>
      <c r="M172" s="286">
        <v>300000000</v>
      </c>
      <c r="N172" s="1006"/>
      <c r="O172" s="1006"/>
      <c r="P172" s="7"/>
      <c r="Q172" s="530"/>
      <c r="R172" s="1129"/>
      <c r="T172" s="396"/>
      <c r="U172" s="396"/>
      <c r="V172" s="396"/>
    </row>
    <row r="173" spans="2:22" ht="3" customHeight="1" x14ac:dyDescent="0.25">
      <c r="C173" s="275"/>
      <c r="D173" s="276"/>
      <c r="E173" s="276"/>
      <c r="F173" s="1540"/>
      <c r="G173" s="1541"/>
      <c r="H173" s="279"/>
      <c r="I173" s="289"/>
      <c r="J173" s="651"/>
      <c r="K173" s="651"/>
      <c r="L173" s="651"/>
      <c r="M173" s="290"/>
      <c r="N173" s="1007"/>
      <c r="O173" s="1007"/>
      <c r="Q173" s="531"/>
    </row>
    <row r="174" spans="2:22" s="29" customFormat="1" ht="33.75" customHeight="1" x14ac:dyDescent="0.25">
      <c r="B174" s="13"/>
      <c r="C174" s="1506" t="s">
        <v>454</v>
      </c>
      <c r="D174" s="1507"/>
      <c r="E174" s="1558" t="s">
        <v>238</v>
      </c>
      <c r="F174" s="1559"/>
      <c r="G174" s="1560"/>
      <c r="H174" s="231" t="s">
        <v>239</v>
      </c>
      <c r="I174" s="282"/>
      <c r="J174" s="652">
        <f>J175+J180+J176+J178</f>
        <v>7000000000</v>
      </c>
      <c r="K174" s="652">
        <f>K175+K180+K176+K178</f>
        <v>7000000000</v>
      </c>
      <c r="L174" s="652">
        <f>L175+L180+L176+L178</f>
        <v>7000000000</v>
      </c>
      <c r="M174" s="292">
        <f>M175+M180+M176+M178</f>
        <v>7500000000</v>
      </c>
      <c r="N174" s="1008"/>
      <c r="O174" s="1008"/>
      <c r="P174" s="32"/>
      <c r="Q174" s="529"/>
      <c r="R174" s="486"/>
      <c r="T174" s="396"/>
      <c r="U174" s="396"/>
      <c r="V174" s="396"/>
    </row>
    <row r="175" spans="2:22" s="29" customFormat="1" ht="23.25" customHeight="1" x14ac:dyDescent="0.25">
      <c r="B175" s="13"/>
      <c r="C175" s="39"/>
      <c r="D175" s="140"/>
      <c r="E175" s="77" t="s">
        <v>5</v>
      </c>
      <c r="F175" s="1567" t="s">
        <v>240</v>
      </c>
      <c r="G175" s="1568"/>
      <c r="H175" s="1295" t="s">
        <v>241</v>
      </c>
      <c r="I175" s="294">
        <v>1</v>
      </c>
      <c r="J175" s="653">
        <v>500000000</v>
      </c>
      <c r="K175" s="653">
        <v>500000000</v>
      </c>
      <c r="L175" s="653">
        <v>500000000</v>
      </c>
      <c r="M175" s="295">
        <v>500000000</v>
      </c>
      <c r="N175" s="296"/>
      <c r="O175" s="296"/>
      <c r="P175" s="296"/>
      <c r="Q175" s="532"/>
      <c r="R175" s="501"/>
      <c r="T175" s="396"/>
      <c r="U175" s="396"/>
      <c r="V175" s="396"/>
    </row>
    <row r="176" spans="2:22" s="29" customFormat="1" ht="25.5" customHeight="1" x14ac:dyDescent="0.25">
      <c r="B176" s="13"/>
      <c r="C176" s="39"/>
      <c r="D176" s="140"/>
      <c r="E176" s="109" t="s">
        <v>10</v>
      </c>
      <c r="F176" s="1556" t="s">
        <v>242</v>
      </c>
      <c r="G176" s="1557"/>
      <c r="H176" s="1293" t="s">
        <v>243</v>
      </c>
      <c r="I176" s="298" t="s">
        <v>244</v>
      </c>
      <c r="J176" s="654">
        <f>SUM(J177:J177)</f>
        <v>300000000</v>
      </c>
      <c r="K176" s="654">
        <f>SUM(K177:K177)</f>
        <v>300000000</v>
      </c>
      <c r="L176" s="654">
        <f>SUM(L177:L177)</f>
        <v>300000000</v>
      </c>
      <c r="M176" s="299">
        <f>SUM(M177:M177)</f>
        <v>300000000</v>
      </c>
      <c r="N176" s="296"/>
      <c r="O176" s="296"/>
      <c r="P176" s="296"/>
      <c r="Q176" s="533"/>
      <c r="R176" s="501"/>
      <c r="T176" s="396"/>
      <c r="U176" s="396"/>
      <c r="V176" s="396"/>
    </row>
    <row r="177" spans="2:22" s="306" customFormat="1" ht="27" customHeight="1" x14ac:dyDescent="0.25">
      <c r="B177" s="13"/>
      <c r="C177" s="300"/>
      <c r="D177" s="156"/>
      <c r="E177" s="156"/>
      <c r="F177" s="301" t="s">
        <v>46</v>
      </c>
      <c r="G177" s="1294" t="s">
        <v>245</v>
      </c>
      <c r="H177" s="1296"/>
      <c r="I177" s="1" t="s">
        <v>244</v>
      </c>
      <c r="J177" s="655">
        <v>300000000</v>
      </c>
      <c r="K177" s="655">
        <v>300000000</v>
      </c>
      <c r="L177" s="655">
        <v>300000000</v>
      </c>
      <c r="M177" s="304">
        <v>300000000</v>
      </c>
      <c r="N177" s="305"/>
      <c r="O177" s="305"/>
      <c r="P177" s="305"/>
      <c r="Q177" s="534"/>
      <c r="R177" s="502"/>
      <c r="T177" s="928"/>
      <c r="U177" s="928"/>
      <c r="V177" s="928"/>
    </row>
    <row r="178" spans="2:22" s="29" customFormat="1" ht="25.5" customHeight="1" x14ac:dyDescent="0.25">
      <c r="B178" s="13"/>
      <c r="C178" s="39"/>
      <c r="D178" s="140"/>
      <c r="E178" s="109" t="s">
        <v>13</v>
      </c>
      <c r="F178" s="1550" t="s">
        <v>246</v>
      </c>
      <c r="G178" s="1551"/>
      <c r="H178" s="1293" t="s">
        <v>247</v>
      </c>
      <c r="I178" s="298" t="s">
        <v>465</v>
      </c>
      <c r="J178" s="654">
        <f>SUM(J179:J179)</f>
        <v>6000000000</v>
      </c>
      <c r="K178" s="654">
        <f>SUM(K179:K179)</f>
        <v>6000000000</v>
      </c>
      <c r="L178" s="654">
        <f>SUM(L179:L179)</f>
        <v>6000000000</v>
      </c>
      <c r="M178" s="299">
        <f>SUM(M179:M179)</f>
        <v>6500000000</v>
      </c>
      <c r="N178" s="296"/>
      <c r="O178" s="296"/>
      <c r="P178" s="296"/>
      <c r="Q178" s="533"/>
      <c r="R178" s="501"/>
      <c r="T178" s="396"/>
      <c r="U178" s="396"/>
      <c r="V178" s="396"/>
    </row>
    <row r="179" spans="2:22" s="306" customFormat="1" ht="24.75" customHeight="1" x14ac:dyDescent="0.25">
      <c r="B179" s="13"/>
      <c r="C179" s="300"/>
      <c r="D179" s="156"/>
      <c r="E179" s="156"/>
      <c r="F179" s="301" t="s">
        <v>46</v>
      </c>
      <c r="G179" s="1294" t="s">
        <v>249</v>
      </c>
      <c r="H179" s="1296"/>
      <c r="I179" s="1" t="s">
        <v>248</v>
      </c>
      <c r="J179" s="655">
        <v>6000000000</v>
      </c>
      <c r="K179" s="655">
        <v>6000000000</v>
      </c>
      <c r="L179" s="655">
        <v>6000000000</v>
      </c>
      <c r="M179" s="304">
        <f>6000000000+500000000</f>
        <v>6500000000</v>
      </c>
      <c r="N179" s="305"/>
      <c r="O179" s="305"/>
      <c r="P179" s="305"/>
      <c r="Q179" s="534"/>
      <c r="R179" s="502"/>
      <c r="T179" s="928"/>
      <c r="U179" s="928"/>
      <c r="V179" s="928"/>
    </row>
    <row r="180" spans="2:22" s="29" customFormat="1" ht="21" customHeight="1" x14ac:dyDescent="0.25">
      <c r="B180" s="13"/>
      <c r="C180" s="39"/>
      <c r="D180" s="140"/>
      <c r="E180" s="109" t="s">
        <v>16</v>
      </c>
      <c r="F180" s="1556" t="s">
        <v>250</v>
      </c>
      <c r="G180" s="1557"/>
      <c r="H180" s="1293" t="s">
        <v>251</v>
      </c>
      <c r="I180" s="294">
        <v>1</v>
      </c>
      <c r="J180" s="654">
        <v>200000000</v>
      </c>
      <c r="K180" s="654">
        <v>200000000</v>
      </c>
      <c r="L180" s="654">
        <v>200000000</v>
      </c>
      <c r="M180" s="299">
        <v>200000000</v>
      </c>
      <c r="N180" s="296"/>
      <c r="O180" s="296"/>
      <c r="P180" s="296"/>
      <c r="Q180" s="532"/>
      <c r="R180" s="501"/>
      <c r="T180" s="396"/>
      <c r="U180" s="396"/>
      <c r="V180" s="396"/>
    </row>
    <row r="181" spans="2:22" ht="3" customHeight="1" x14ac:dyDescent="0.25">
      <c r="C181" s="275"/>
      <c r="D181" s="276"/>
      <c r="E181" s="276"/>
      <c r="F181" s="310"/>
      <c r="G181" s="287"/>
      <c r="H181" s="288"/>
      <c r="I181" s="311"/>
      <c r="J181" s="656"/>
      <c r="K181" s="656"/>
      <c r="L181" s="656"/>
      <c r="M181" s="312"/>
      <c r="N181" s="1009"/>
      <c r="O181" s="1009"/>
      <c r="P181" s="308"/>
      <c r="Q181" s="535"/>
      <c r="R181" s="503"/>
    </row>
    <row r="182" spans="2:22" s="15" customFormat="1" ht="34.5" customHeight="1" x14ac:dyDescent="0.25">
      <c r="B182" s="13"/>
      <c r="C182" s="1508" t="s">
        <v>455</v>
      </c>
      <c r="D182" s="1509"/>
      <c r="E182" s="1558" t="s">
        <v>252</v>
      </c>
      <c r="F182" s="1559"/>
      <c r="G182" s="1560"/>
      <c r="H182" s="231" t="s">
        <v>253</v>
      </c>
      <c r="I182" s="282"/>
      <c r="J182" s="649">
        <f>J183+J187+J190+J193+J196+J200+J203+J206+J210+J213+J214+J217+J218+J219+J220+J221</f>
        <v>55724570542</v>
      </c>
      <c r="K182" s="649">
        <f>K183+K187+K190+K193+K196+K200+K203+K206+K210+K213+K214+K217+K218+K219+K220+K221</f>
        <v>55724570542</v>
      </c>
      <c r="L182" s="649">
        <f>L183+L187+L190+L193+L196+L200+L203+L206+L210+L213+L214+L217+L218+L219+L220+L221</f>
        <v>55724570542</v>
      </c>
      <c r="M182" s="283">
        <f>M183+M187+M190+M193+M196+M200+M203+M206+M210+M213+M214+M217+M218+M219+M220+M221</f>
        <v>141790000000</v>
      </c>
      <c r="N182" s="1005"/>
      <c r="O182" s="1005"/>
      <c r="P182" s="104"/>
      <c r="Q182" s="529"/>
      <c r="R182" s="14"/>
      <c r="S182" s="16"/>
      <c r="T182" s="21"/>
      <c r="U182" s="21"/>
      <c r="V182" s="21"/>
    </row>
    <row r="183" spans="2:22" s="62" customFormat="1" ht="20.25" customHeight="1" x14ac:dyDescent="0.25">
      <c r="B183" s="59"/>
      <c r="C183" s="313"/>
      <c r="D183" s="314"/>
      <c r="E183" s="315" t="s">
        <v>5</v>
      </c>
      <c r="F183" s="1561" t="s">
        <v>254</v>
      </c>
      <c r="G183" s="1562"/>
      <c r="H183" s="1297" t="s">
        <v>255</v>
      </c>
      <c r="I183" s="317"/>
      <c r="J183" s="1428">
        <f>SUM(J184:J186)</f>
        <v>26783487571</v>
      </c>
      <c r="K183" s="1428">
        <f>SUM(K184:K186)</f>
        <v>26783487571</v>
      </c>
      <c r="L183" s="1428">
        <f>SUM(L184:L186)</f>
        <v>26783487571</v>
      </c>
      <c r="M183" s="1429">
        <f>SUM(M184:M186)</f>
        <v>100000000000</v>
      </c>
      <c r="N183" s="319"/>
      <c r="O183" s="319"/>
      <c r="P183" s="319"/>
      <c r="Q183" s="541"/>
      <c r="R183" s="504"/>
      <c r="S183" s="63"/>
      <c r="T183" s="731">
        <v>100000000000</v>
      </c>
      <c r="U183" s="731">
        <f>T183-M183</f>
        <v>0</v>
      </c>
      <c r="V183" s="731"/>
    </row>
    <row r="184" spans="2:22" s="1182" customFormat="1" ht="17.25" customHeight="1" x14ac:dyDescent="0.25">
      <c r="B184" s="1170"/>
      <c r="C184" s="1312"/>
      <c r="D184" s="1313"/>
      <c r="E184" s="1314"/>
      <c r="F184" s="1315" t="s">
        <v>46</v>
      </c>
      <c r="G184" s="1316" t="s">
        <v>256</v>
      </c>
      <c r="H184" s="1298" t="s">
        <v>257</v>
      </c>
      <c r="I184" s="1317">
        <v>7.0000000000000007E-2</v>
      </c>
      <c r="J184" s="1318">
        <v>26433487571</v>
      </c>
      <c r="K184" s="1318">
        <f>26433487571</f>
        <v>26433487571</v>
      </c>
      <c r="L184" s="1318">
        <v>26433487571</v>
      </c>
      <c r="M184" s="1319">
        <v>98975000000</v>
      </c>
      <c r="N184" s="1320"/>
      <c r="O184" s="1320"/>
      <c r="P184" s="1320"/>
      <c r="Q184" s="1321"/>
      <c r="R184" s="1322"/>
      <c r="S184" s="1323"/>
      <c r="T184" s="1444"/>
      <c r="U184" s="1444"/>
      <c r="V184" s="1444"/>
    </row>
    <row r="185" spans="2:22" s="1182" customFormat="1" ht="24.75" customHeight="1" x14ac:dyDescent="0.25">
      <c r="B185" s="1170"/>
      <c r="C185" s="1312"/>
      <c r="D185" s="1313"/>
      <c r="E185" s="1314"/>
      <c r="F185" s="1315" t="s">
        <v>46</v>
      </c>
      <c r="G185" s="1477" t="s">
        <v>595</v>
      </c>
      <c r="H185" s="1299" t="s">
        <v>259</v>
      </c>
      <c r="I185" s="1324">
        <v>1</v>
      </c>
      <c r="J185" s="1325">
        <v>350000000</v>
      </c>
      <c r="K185" s="1325">
        <v>350000000</v>
      </c>
      <c r="L185" s="1325">
        <v>350000000</v>
      </c>
      <c r="M185" s="1326">
        <v>1025000000</v>
      </c>
      <c r="N185" s="1320"/>
      <c r="O185" s="1320"/>
      <c r="P185" s="1320"/>
      <c r="Q185" s="1327"/>
      <c r="R185" s="1322"/>
      <c r="S185" s="1323"/>
      <c r="T185" s="1444"/>
      <c r="U185" s="1444"/>
      <c r="V185" s="1444"/>
    </row>
    <row r="186" spans="2:22" s="113" customFormat="1" ht="15.75" hidden="1" customHeight="1" x14ac:dyDescent="0.25">
      <c r="B186" s="59"/>
      <c r="C186" s="320"/>
      <c r="D186" s="321"/>
      <c r="E186" s="322"/>
      <c r="F186" s="64" t="s">
        <v>46</v>
      </c>
      <c r="G186" s="323" t="s">
        <v>260</v>
      </c>
      <c r="H186" s="1300" t="s">
        <v>470</v>
      </c>
      <c r="I186" s="327">
        <v>1</v>
      </c>
      <c r="J186" s="658">
        <v>0</v>
      </c>
      <c r="K186" s="658">
        <v>0</v>
      </c>
      <c r="L186" s="658"/>
      <c r="M186" s="325"/>
      <c r="N186" s="67"/>
      <c r="O186" s="67"/>
      <c r="P186" s="67"/>
      <c r="Q186" s="514"/>
      <c r="R186" s="490"/>
      <c r="S186" s="151"/>
      <c r="T186" s="926"/>
      <c r="U186" s="926"/>
      <c r="V186" s="926"/>
    </row>
    <row r="187" spans="2:22" s="62" customFormat="1" ht="20.25" customHeight="1" x14ac:dyDescent="0.25">
      <c r="B187" s="59"/>
      <c r="C187" s="78"/>
      <c r="D187" s="45"/>
      <c r="E187" s="329" t="s">
        <v>10</v>
      </c>
      <c r="F187" s="1563" t="s">
        <v>261</v>
      </c>
      <c r="G187" s="1564"/>
      <c r="H187" s="1164" t="s">
        <v>262</v>
      </c>
      <c r="I187" s="330"/>
      <c r="J187" s="1430">
        <f>SUM(J188:J189)</f>
        <v>5175000000</v>
      </c>
      <c r="K187" s="1430">
        <f>SUM(K188:K189)</f>
        <v>5175000000</v>
      </c>
      <c r="L187" s="1430">
        <f>SUM(L188:L189)</f>
        <v>5175000000</v>
      </c>
      <c r="M187" s="1431">
        <f>SUM(M188:M189)</f>
        <v>25500000000</v>
      </c>
      <c r="N187" s="319"/>
      <c r="O187" s="319"/>
      <c r="P187" s="319"/>
      <c r="Q187" s="543"/>
      <c r="R187" s="504"/>
      <c r="S187" s="63"/>
      <c r="T187" s="731">
        <v>25500000000</v>
      </c>
      <c r="U187" s="731">
        <f>T187-M187</f>
        <v>0</v>
      </c>
      <c r="V187" s="731"/>
    </row>
    <row r="188" spans="2:22" s="1182" customFormat="1" ht="15.75" customHeight="1" x14ac:dyDescent="0.25">
      <c r="B188" s="1170"/>
      <c r="C188" s="1312"/>
      <c r="D188" s="1313"/>
      <c r="E188" s="1314"/>
      <c r="F188" s="1315" t="s">
        <v>46</v>
      </c>
      <c r="G188" s="1316" t="s">
        <v>408</v>
      </c>
      <c r="H188" s="1299" t="s">
        <v>263</v>
      </c>
      <c r="I188" s="1324">
        <v>0.57999999999999996</v>
      </c>
      <c r="J188" s="1325">
        <f>5000000000</f>
        <v>5000000000</v>
      </c>
      <c r="K188" s="1325">
        <f>5000000000</f>
        <v>5000000000</v>
      </c>
      <c r="L188" s="1325">
        <f>5000000000</f>
        <v>5000000000</v>
      </c>
      <c r="M188" s="1458">
        <f>25050000000</f>
        <v>25050000000</v>
      </c>
      <c r="N188" s="1320"/>
      <c r="O188" s="1320"/>
      <c r="P188" s="1320"/>
      <c r="Q188" s="1327"/>
      <c r="R188" s="1322"/>
      <c r="S188" s="1323"/>
      <c r="T188" s="1444"/>
      <c r="U188" s="1444"/>
      <c r="V188" s="1444"/>
    </row>
    <row r="189" spans="2:22" s="1182" customFormat="1" ht="25.5" customHeight="1" x14ac:dyDescent="0.25">
      <c r="B189" s="1170"/>
      <c r="C189" s="1312"/>
      <c r="D189" s="1313"/>
      <c r="E189" s="1314"/>
      <c r="F189" s="1315" t="s">
        <v>46</v>
      </c>
      <c r="G189" s="1316" t="s">
        <v>407</v>
      </c>
      <c r="H189" s="1299" t="s">
        <v>264</v>
      </c>
      <c r="I189" s="1324">
        <v>1</v>
      </c>
      <c r="J189" s="1325">
        <v>175000000</v>
      </c>
      <c r="K189" s="1325">
        <v>175000000</v>
      </c>
      <c r="L189" s="1325">
        <v>175000000</v>
      </c>
      <c r="M189" s="1326">
        <v>450000000</v>
      </c>
      <c r="N189" s="1320"/>
      <c r="O189" s="1320"/>
      <c r="P189" s="1320"/>
      <c r="Q189" s="1327"/>
      <c r="R189" s="1322"/>
      <c r="S189" s="1323"/>
      <c r="T189" s="1444"/>
      <c r="U189" s="1444"/>
      <c r="V189" s="1444"/>
    </row>
    <row r="190" spans="2:22" s="62" customFormat="1" ht="25.5" customHeight="1" x14ac:dyDescent="0.25">
      <c r="B190" s="59"/>
      <c r="C190" s="78"/>
      <c r="D190" s="45"/>
      <c r="E190" s="329" t="s">
        <v>13</v>
      </c>
      <c r="F190" s="1563" t="s">
        <v>265</v>
      </c>
      <c r="G190" s="1564"/>
      <c r="H190" s="1164" t="s">
        <v>464</v>
      </c>
      <c r="I190" s="330"/>
      <c r="J190" s="659">
        <f>SUM(J191:J192)</f>
        <v>1000000000</v>
      </c>
      <c r="K190" s="659">
        <f>SUM(K191:K192)</f>
        <v>1000000000</v>
      </c>
      <c r="L190" s="659">
        <f>SUM(L191:L192)</f>
        <v>1000000000</v>
      </c>
      <c r="M190" s="331">
        <f>SUM(M191:M192)</f>
        <v>500000000</v>
      </c>
      <c r="N190" s="1010"/>
      <c r="O190" s="1010"/>
      <c r="P190" s="319"/>
      <c r="Q190" s="543"/>
      <c r="R190" s="504"/>
      <c r="S190" s="63"/>
      <c r="T190" s="731"/>
      <c r="U190" s="731"/>
      <c r="V190" s="731"/>
    </row>
    <row r="191" spans="2:22" s="1334" customFormat="1" ht="25.5" customHeight="1" x14ac:dyDescent="0.25">
      <c r="B191" s="1170"/>
      <c r="C191" s="1328"/>
      <c r="D191" s="1329"/>
      <c r="E191" s="1330"/>
      <c r="F191" s="1331" t="s">
        <v>46</v>
      </c>
      <c r="G191" s="1316" t="s">
        <v>266</v>
      </c>
      <c r="H191" s="1301" t="s">
        <v>267</v>
      </c>
      <c r="I191" s="1332">
        <v>1</v>
      </c>
      <c r="J191" s="1325">
        <v>500000000</v>
      </c>
      <c r="K191" s="1325">
        <v>500000000</v>
      </c>
      <c r="L191" s="1325">
        <v>500000000</v>
      </c>
      <c r="M191" s="1326">
        <v>500000000</v>
      </c>
      <c r="N191" s="1320"/>
      <c r="O191" s="1320"/>
      <c r="P191" s="1320"/>
      <c r="Q191" s="1327"/>
      <c r="R191" s="1322"/>
      <c r="S191" s="1333"/>
      <c r="T191" s="1450"/>
      <c r="U191" s="1450"/>
      <c r="V191" s="1450"/>
    </row>
    <row r="192" spans="2:22" s="1339" customFormat="1" ht="21" customHeight="1" x14ac:dyDescent="0.25">
      <c r="B192" s="1170"/>
      <c r="C192" s="1335"/>
      <c r="D192" s="1336"/>
      <c r="E192" s="1337"/>
      <c r="F192" s="1331" t="s">
        <v>46</v>
      </c>
      <c r="G192" s="1316" t="s">
        <v>268</v>
      </c>
      <c r="H192" s="1301" t="s">
        <v>269</v>
      </c>
      <c r="I192" s="1332">
        <v>1</v>
      </c>
      <c r="J192" s="1325">
        <v>500000000</v>
      </c>
      <c r="K192" s="1325">
        <v>500000000</v>
      </c>
      <c r="L192" s="1325">
        <v>500000000</v>
      </c>
      <c r="M192" s="1326">
        <v>0</v>
      </c>
      <c r="N192" s="1320"/>
      <c r="O192" s="1320"/>
      <c r="P192" s="1320"/>
      <c r="Q192" s="1327"/>
      <c r="R192" s="1322"/>
      <c r="S192" s="1338"/>
      <c r="T192" s="1451"/>
      <c r="U192" s="1451"/>
      <c r="V192" s="1451"/>
    </row>
    <row r="193" spans="2:22" s="29" customFormat="1" ht="21" customHeight="1" x14ac:dyDescent="0.25">
      <c r="B193" s="13"/>
      <c r="C193" s="944"/>
      <c r="D193" s="140"/>
      <c r="E193" s="140" t="s">
        <v>16</v>
      </c>
      <c r="F193" s="1618" t="s">
        <v>270</v>
      </c>
      <c r="G193" s="1620"/>
      <c r="H193" s="1302" t="s">
        <v>271</v>
      </c>
      <c r="I193" s="134"/>
      <c r="J193" s="660">
        <f>J194+J195</f>
        <v>1045000000</v>
      </c>
      <c r="K193" s="660">
        <f>K194+K195</f>
        <v>1045000000</v>
      </c>
      <c r="L193" s="660">
        <f>L194+L195</f>
        <v>1045000000</v>
      </c>
      <c r="M193" s="60">
        <f>M194+M195</f>
        <v>1045000000</v>
      </c>
      <c r="N193" s="1011"/>
      <c r="O193" s="1011"/>
      <c r="P193" s="61"/>
      <c r="Q193" s="536"/>
      <c r="R193" s="489"/>
      <c r="S193" s="63"/>
      <c r="T193" s="396"/>
      <c r="U193" s="396"/>
      <c r="V193" s="396"/>
    </row>
    <row r="194" spans="2:22" s="1347" customFormat="1" ht="27" customHeight="1" x14ac:dyDescent="0.25">
      <c r="B194" s="1340"/>
      <c r="C194" s="1341"/>
      <c r="D194" s="1342"/>
      <c r="E194" s="1342"/>
      <c r="F194" s="1315" t="s">
        <v>46</v>
      </c>
      <c r="G194" s="1316" t="s">
        <v>272</v>
      </c>
      <c r="H194" s="1301" t="s">
        <v>273</v>
      </c>
      <c r="I194" s="1343">
        <v>1</v>
      </c>
      <c r="J194" s="1344">
        <v>1000000000</v>
      </c>
      <c r="K194" s="1344">
        <v>1000000000</v>
      </c>
      <c r="L194" s="1344">
        <f>1000000000</f>
        <v>1000000000</v>
      </c>
      <c r="M194" s="1345">
        <f>1000000000</f>
        <v>1000000000</v>
      </c>
      <c r="N194" s="1320"/>
      <c r="O194" s="1320"/>
      <c r="P194" s="1320"/>
      <c r="Q194" s="1346"/>
      <c r="R194" s="1322"/>
      <c r="S194" s="1333"/>
      <c r="T194" s="1452"/>
      <c r="U194" s="1452"/>
      <c r="V194" s="1452"/>
    </row>
    <row r="195" spans="2:22" s="1347" customFormat="1" ht="27" customHeight="1" x14ac:dyDescent="0.25">
      <c r="B195" s="1340"/>
      <c r="C195" s="1341"/>
      <c r="D195" s="1342"/>
      <c r="E195" s="1342"/>
      <c r="F195" s="1315" t="s">
        <v>46</v>
      </c>
      <c r="G195" s="1316" t="s">
        <v>274</v>
      </c>
      <c r="H195" s="1301" t="s">
        <v>274</v>
      </c>
      <c r="I195" s="1332">
        <v>1</v>
      </c>
      <c r="J195" s="1325">
        <v>45000000</v>
      </c>
      <c r="K195" s="1325">
        <v>45000000</v>
      </c>
      <c r="L195" s="1325">
        <v>45000000</v>
      </c>
      <c r="M195" s="1326">
        <v>45000000</v>
      </c>
      <c r="N195" s="1320"/>
      <c r="O195" s="1320"/>
      <c r="P195" s="1320"/>
      <c r="Q195" s="1327"/>
      <c r="R195" s="1322"/>
      <c r="S195" s="1333"/>
      <c r="T195" s="1452"/>
      <c r="U195" s="1452"/>
      <c r="V195" s="1452"/>
    </row>
    <row r="196" spans="2:22" s="62" customFormat="1" ht="21.75" customHeight="1" x14ac:dyDescent="0.25">
      <c r="B196" s="59"/>
      <c r="C196" s="78"/>
      <c r="D196" s="45"/>
      <c r="E196" s="329" t="s">
        <v>19</v>
      </c>
      <c r="F196" s="1548" t="s">
        <v>275</v>
      </c>
      <c r="G196" s="1549"/>
      <c r="H196" s="1303" t="s">
        <v>276</v>
      </c>
      <c r="I196" s="435"/>
      <c r="J196" s="660">
        <f>SUM(J197:J199)</f>
        <v>8750000000</v>
      </c>
      <c r="K196" s="660">
        <f>SUM(K197:K199)</f>
        <v>8750000000</v>
      </c>
      <c r="L196" s="660">
        <f>SUM(L197:L199)</f>
        <v>8750000000</v>
      </c>
      <c r="M196" s="60">
        <f>SUM(M197:M199)</f>
        <v>4650000000</v>
      </c>
      <c r="N196" s="61"/>
      <c r="O196" s="61"/>
      <c r="P196" s="61"/>
      <c r="Q196" s="536"/>
      <c r="R196" s="489"/>
      <c r="S196" s="63"/>
      <c r="T196" s="731"/>
      <c r="U196" s="731"/>
      <c r="V196" s="731"/>
    </row>
    <row r="197" spans="2:22" s="1334" customFormat="1" ht="15.75" customHeight="1" x14ac:dyDescent="0.25">
      <c r="B197" s="1170"/>
      <c r="C197" s="1328"/>
      <c r="D197" s="1329"/>
      <c r="E197" s="1330"/>
      <c r="F197" s="1315" t="s">
        <v>46</v>
      </c>
      <c r="G197" s="1316" t="s">
        <v>277</v>
      </c>
      <c r="H197" s="1301" t="s">
        <v>278</v>
      </c>
      <c r="I197" s="1348">
        <v>1</v>
      </c>
      <c r="J197" s="1325">
        <v>8405000000</v>
      </c>
      <c r="K197" s="1325">
        <v>8405000000</v>
      </c>
      <c r="L197" s="1325">
        <v>8405000000</v>
      </c>
      <c r="M197" s="1326">
        <f>8405000000-4100000000+100000000</f>
        <v>4405000000</v>
      </c>
      <c r="N197" s="1320"/>
      <c r="O197" s="1320"/>
      <c r="P197" s="1320"/>
      <c r="Q197" s="1349"/>
      <c r="R197" s="1322"/>
      <c r="S197" s="1333"/>
      <c r="T197" s="1450"/>
      <c r="U197" s="1450"/>
      <c r="V197" s="1450"/>
    </row>
    <row r="198" spans="2:22" s="1334" customFormat="1" ht="19.5" customHeight="1" x14ac:dyDescent="0.25">
      <c r="B198" s="1170"/>
      <c r="C198" s="1328"/>
      <c r="D198" s="1329"/>
      <c r="E198" s="1330"/>
      <c r="F198" s="1315" t="s">
        <v>46</v>
      </c>
      <c r="G198" s="1316" t="s">
        <v>279</v>
      </c>
      <c r="H198" s="1304" t="s">
        <v>280</v>
      </c>
      <c r="I198" s="1348">
        <v>1</v>
      </c>
      <c r="J198" s="1325">
        <v>245000000</v>
      </c>
      <c r="K198" s="1325">
        <v>245000000</v>
      </c>
      <c r="L198" s="1325">
        <v>245000000</v>
      </c>
      <c r="M198" s="1326">
        <v>245000000</v>
      </c>
      <c r="N198" s="1320"/>
      <c r="O198" s="1320"/>
      <c r="P198" s="1320"/>
      <c r="Q198" s="1349"/>
      <c r="R198" s="1322"/>
      <c r="S198" s="1333"/>
      <c r="T198" s="1450"/>
      <c r="U198" s="1450"/>
      <c r="V198" s="1450"/>
    </row>
    <row r="199" spans="2:22" s="1334" customFormat="1" ht="15.75" customHeight="1" x14ac:dyDescent="0.25">
      <c r="B199" s="1170"/>
      <c r="C199" s="1328"/>
      <c r="D199" s="1329"/>
      <c r="E199" s="1330"/>
      <c r="F199" s="1315" t="s">
        <v>46</v>
      </c>
      <c r="G199" s="1316" t="s">
        <v>281</v>
      </c>
      <c r="H199" s="1301" t="s">
        <v>282</v>
      </c>
      <c r="I199" s="1332">
        <v>1</v>
      </c>
      <c r="J199" s="1325">
        <v>100000000</v>
      </c>
      <c r="K199" s="1325">
        <v>100000000</v>
      </c>
      <c r="L199" s="1325">
        <v>100000000</v>
      </c>
      <c r="M199" s="1326">
        <v>0</v>
      </c>
      <c r="N199" s="1320"/>
      <c r="O199" s="1320"/>
      <c r="P199" s="1320"/>
      <c r="Q199" s="1327"/>
      <c r="R199" s="1322"/>
      <c r="S199" s="1333"/>
      <c r="T199" s="1450"/>
      <c r="U199" s="1450"/>
      <c r="V199" s="1450"/>
    </row>
    <row r="200" spans="2:22" s="29" customFormat="1" ht="26.25" customHeight="1" x14ac:dyDescent="0.25">
      <c r="B200" s="13"/>
      <c r="C200" s="87"/>
      <c r="D200" s="109"/>
      <c r="E200" s="109" t="s">
        <v>27</v>
      </c>
      <c r="F200" s="1548" t="s">
        <v>283</v>
      </c>
      <c r="G200" s="1549"/>
      <c r="H200" s="1303" t="s">
        <v>284</v>
      </c>
      <c r="I200" s="435"/>
      <c r="J200" s="660">
        <f>J201+J202</f>
        <v>1045000000</v>
      </c>
      <c r="K200" s="660">
        <f>K201+K202</f>
        <v>1045000000</v>
      </c>
      <c r="L200" s="660">
        <f>L201+L202</f>
        <v>1045000000</v>
      </c>
      <c r="M200" s="60">
        <f>M201+M202</f>
        <v>1045000000</v>
      </c>
      <c r="N200" s="61"/>
      <c r="O200" s="61"/>
      <c r="P200" s="61"/>
      <c r="Q200" s="536"/>
      <c r="R200" s="489"/>
      <c r="S200" s="63"/>
      <c r="T200" s="396"/>
      <c r="U200" s="396"/>
      <c r="V200" s="396"/>
    </row>
    <row r="201" spans="2:22" s="1347" customFormat="1" ht="13.5" x14ac:dyDescent="0.25">
      <c r="B201" s="1340"/>
      <c r="C201" s="1341"/>
      <c r="D201" s="1342"/>
      <c r="E201" s="1342"/>
      <c r="F201" s="1315" t="s">
        <v>46</v>
      </c>
      <c r="G201" s="1316" t="s">
        <v>285</v>
      </c>
      <c r="H201" s="1301" t="s">
        <v>286</v>
      </c>
      <c r="I201" s="1343">
        <v>1</v>
      </c>
      <c r="J201" s="1344">
        <v>1000000000</v>
      </c>
      <c r="K201" s="1344">
        <v>1000000000</v>
      </c>
      <c r="L201" s="1344">
        <v>1000000000</v>
      </c>
      <c r="M201" s="1345">
        <v>1000000000</v>
      </c>
      <c r="N201" s="1320"/>
      <c r="O201" s="1320"/>
      <c r="P201" s="1320"/>
      <c r="Q201" s="1346"/>
      <c r="R201" s="1322"/>
      <c r="S201" s="1333"/>
      <c r="T201" s="1452"/>
      <c r="U201" s="1452"/>
      <c r="V201" s="1452"/>
    </row>
    <row r="202" spans="2:22" s="1347" customFormat="1" ht="26.25" customHeight="1" x14ac:dyDescent="0.25">
      <c r="B202" s="1340"/>
      <c r="C202" s="1341"/>
      <c r="D202" s="1342"/>
      <c r="E202" s="1342"/>
      <c r="F202" s="1331" t="s">
        <v>46</v>
      </c>
      <c r="G202" s="1316" t="s">
        <v>287</v>
      </c>
      <c r="H202" s="1301" t="s">
        <v>288</v>
      </c>
      <c r="I202" s="1332">
        <v>1</v>
      </c>
      <c r="J202" s="1344">
        <v>45000000</v>
      </c>
      <c r="K202" s="1344">
        <v>45000000</v>
      </c>
      <c r="L202" s="1344">
        <v>45000000</v>
      </c>
      <c r="M202" s="1345">
        <v>45000000</v>
      </c>
      <c r="N202" s="1320"/>
      <c r="O202" s="1320"/>
      <c r="P202" s="1320"/>
      <c r="Q202" s="1327"/>
      <c r="R202" s="1322"/>
      <c r="S202" s="1333"/>
      <c r="T202" s="1452"/>
      <c r="U202" s="1452"/>
      <c r="V202" s="1452"/>
    </row>
    <row r="203" spans="2:22" s="29" customFormat="1" ht="23.25" customHeight="1" x14ac:dyDescent="0.25">
      <c r="B203" s="13"/>
      <c r="C203" s="87"/>
      <c r="D203" s="109"/>
      <c r="E203" s="109" t="s">
        <v>30</v>
      </c>
      <c r="F203" s="1548" t="s">
        <v>289</v>
      </c>
      <c r="G203" s="1549"/>
      <c r="H203" s="1303" t="s">
        <v>290</v>
      </c>
      <c r="I203" s="435">
        <v>1</v>
      </c>
      <c r="J203" s="660">
        <f>J204+J205</f>
        <v>3500000000</v>
      </c>
      <c r="K203" s="660">
        <f>K204+K205</f>
        <v>3500000000</v>
      </c>
      <c r="L203" s="660">
        <f>L204+L205</f>
        <v>3500000000</v>
      </c>
      <c r="M203" s="60">
        <f>M204+M205</f>
        <v>3500000000</v>
      </c>
      <c r="N203" s="61"/>
      <c r="O203" s="61"/>
      <c r="P203" s="61"/>
      <c r="Q203" s="536"/>
      <c r="R203" s="489"/>
      <c r="S203" s="63" t="s">
        <v>291</v>
      </c>
      <c r="T203" s="396"/>
      <c r="U203" s="396"/>
      <c r="V203" s="396"/>
    </row>
    <row r="204" spans="2:22" s="1347" customFormat="1" ht="22.5" customHeight="1" x14ac:dyDescent="0.25">
      <c r="B204" s="1340"/>
      <c r="C204" s="1350"/>
      <c r="D204" s="1351"/>
      <c r="E204" s="1351"/>
      <c r="F204" s="1331" t="s">
        <v>46</v>
      </c>
      <c r="G204" s="1316" t="s">
        <v>292</v>
      </c>
      <c r="H204" s="1301" t="s">
        <v>293</v>
      </c>
      <c r="I204" s="1352">
        <v>1</v>
      </c>
      <c r="J204" s="1344">
        <f>3500000000-125000000</f>
        <v>3375000000</v>
      </c>
      <c r="K204" s="1344">
        <f>3500000000-125000000</f>
        <v>3375000000</v>
      </c>
      <c r="L204" s="1344">
        <f>3500000000-125000000</f>
        <v>3375000000</v>
      </c>
      <c r="M204" s="1345">
        <f>3500000000-125000000</f>
        <v>3375000000</v>
      </c>
      <c r="N204" s="1320"/>
      <c r="O204" s="1320"/>
      <c r="P204" s="1320"/>
      <c r="Q204" s="1353"/>
      <c r="R204" s="1322"/>
      <c r="S204" s="1333" t="s">
        <v>427</v>
      </c>
      <c r="T204" s="1452"/>
      <c r="U204" s="1452"/>
      <c r="V204" s="1452"/>
    </row>
    <row r="205" spans="2:22" s="1347" customFormat="1" ht="23.25" customHeight="1" x14ac:dyDescent="0.25">
      <c r="B205" s="1340"/>
      <c r="C205" s="1341"/>
      <c r="D205" s="1342"/>
      <c r="E205" s="1342"/>
      <c r="F205" s="1331" t="s">
        <v>46</v>
      </c>
      <c r="G205" s="1316" t="s">
        <v>294</v>
      </c>
      <c r="H205" s="1301" t="s">
        <v>295</v>
      </c>
      <c r="I205" s="1332">
        <v>1</v>
      </c>
      <c r="J205" s="1325">
        <v>125000000</v>
      </c>
      <c r="K205" s="1325">
        <v>125000000</v>
      </c>
      <c r="L205" s="1325">
        <v>125000000</v>
      </c>
      <c r="M205" s="1326">
        <v>125000000</v>
      </c>
      <c r="N205" s="1320"/>
      <c r="O205" s="1320"/>
      <c r="P205" s="1320"/>
      <c r="Q205" s="1327"/>
      <c r="R205" s="1322"/>
      <c r="S205" s="1333"/>
      <c r="T205" s="1452"/>
      <c r="U205" s="1452"/>
      <c r="V205" s="1452"/>
    </row>
    <row r="206" spans="2:22" s="29" customFormat="1" ht="23.25" customHeight="1" x14ac:dyDescent="0.25">
      <c r="B206" s="13"/>
      <c r="C206" s="54"/>
      <c r="D206" s="55"/>
      <c r="E206" s="55" t="s">
        <v>8</v>
      </c>
      <c r="F206" s="1548" t="s">
        <v>296</v>
      </c>
      <c r="G206" s="1549"/>
      <c r="H206" s="1305" t="s">
        <v>297</v>
      </c>
      <c r="I206" s="70"/>
      <c r="J206" s="617">
        <f>SUM(J207:J209)</f>
        <v>1600000000</v>
      </c>
      <c r="K206" s="617">
        <f>SUM(K207:K209)</f>
        <v>1600000000</v>
      </c>
      <c r="L206" s="617">
        <f>SUM(L207:L209)</f>
        <v>1600000000</v>
      </c>
      <c r="M206" s="71">
        <f>SUM(M207:M209)</f>
        <v>800000000</v>
      </c>
      <c r="N206" s="61"/>
      <c r="O206" s="61"/>
      <c r="P206" s="61"/>
      <c r="Q206" s="562"/>
      <c r="R206" s="489"/>
      <c r="S206" s="63"/>
      <c r="T206" s="396"/>
      <c r="U206" s="396"/>
      <c r="V206" s="396"/>
    </row>
    <row r="207" spans="2:22" s="1347" customFormat="1" ht="26.25" customHeight="1" x14ac:dyDescent="0.25">
      <c r="B207" s="1340"/>
      <c r="C207" s="1350"/>
      <c r="D207" s="1351"/>
      <c r="E207" s="1351"/>
      <c r="F207" s="1331" t="s">
        <v>46</v>
      </c>
      <c r="G207" s="1316" t="s">
        <v>499</v>
      </c>
      <c r="H207" s="1301" t="s">
        <v>500</v>
      </c>
      <c r="I207" s="1354">
        <v>1</v>
      </c>
      <c r="J207" s="1344">
        <f>1490000000+50000000</f>
        <v>1540000000</v>
      </c>
      <c r="K207" s="1344">
        <v>1490000000</v>
      </c>
      <c r="L207" s="1344">
        <v>1490000000</v>
      </c>
      <c r="M207" s="1345">
        <v>770000000</v>
      </c>
      <c r="N207" s="1320"/>
      <c r="O207" s="1320"/>
      <c r="P207" s="1320"/>
      <c r="Q207" s="1355"/>
      <c r="R207" s="1322"/>
      <c r="S207" s="1333"/>
      <c r="T207" s="1452"/>
      <c r="U207" s="1452"/>
      <c r="V207" s="1452"/>
    </row>
    <row r="208" spans="2:22" s="1347" customFormat="1" ht="24.75" hidden="1" customHeight="1" x14ac:dyDescent="0.25">
      <c r="B208" s="1340"/>
      <c r="C208" s="1350"/>
      <c r="D208" s="1351"/>
      <c r="E208" s="1351"/>
      <c r="F208" s="1331" t="s">
        <v>46</v>
      </c>
      <c r="G208" s="1316" t="s">
        <v>298</v>
      </c>
      <c r="H208" s="1301" t="s">
        <v>299</v>
      </c>
      <c r="I208" s="1354">
        <v>1</v>
      </c>
      <c r="J208" s="1344">
        <v>0</v>
      </c>
      <c r="K208" s="1344">
        <v>50000000</v>
      </c>
      <c r="L208" s="1344">
        <v>50000000</v>
      </c>
      <c r="M208" s="1345">
        <v>0</v>
      </c>
      <c r="N208" s="1320"/>
      <c r="O208" s="1320"/>
      <c r="P208" s="1320"/>
      <c r="Q208" s="1355"/>
      <c r="R208" s="1322"/>
      <c r="S208" s="1333"/>
      <c r="T208" s="1452"/>
      <c r="U208" s="1452"/>
      <c r="V208" s="1452"/>
    </row>
    <row r="209" spans="2:22" s="1347" customFormat="1" ht="16.5" customHeight="1" x14ac:dyDescent="0.25">
      <c r="B209" s="1340"/>
      <c r="C209" s="1350"/>
      <c r="D209" s="1351"/>
      <c r="E209" s="1351"/>
      <c r="F209" s="1331" t="s">
        <v>46</v>
      </c>
      <c r="G209" s="1316" t="s">
        <v>300</v>
      </c>
      <c r="H209" s="1301" t="s">
        <v>301</v>
      </c>
      <c r="I209" s="1354">
        <v>1</v>
      </c>
      <c r="J209" s="1344">
        <v>60000000</v>
      </c>
      <c r="K209" s="1344">
        <v>60000000</v>
      </c>
      <c r="L209" s="1344">
        <v>60000000</v>
      </c>
      <c r="M209" s="1345">
        <v>30000000</v>
      </c>
      <c r="N209" s="1320"/>
      <c r="O209" s="1320"/>
      <c r="P209" s="1320"/>
      <c r="Q209" s="1355"/>
      <c r="R209" s="1322"/>
      <c r="S209" s="1333"/>
      <c r="T209" s="1452"/>
      <c r="U209" s="1452"/>
      <c r="V209" s="1452"/>
    </row>
    <row r="210" spans="2:22" s="349" customFormat="1" ht="23.25" customHeight="1" x14ac:dyDescent="0.25">
      <c r="B210" s="339"/>
      <c r="C210" s="347"/>
      <c r="D210" s="55"/>
      <c r="E210" s="55" t="s">
        <v>22</v>
      </c>
      <c r="F210" s="1550" t="s">
        <v>302</v>
      </c>
      <c r="G210" s="1551"/>
      <c r="H210" s="1306" t="s">
        <v>303</v>
      </c>
      <c r="I210" s="439"/>
      <c r="J210" s="617">
        <f>SUM(J211:J212)</f>
        <v>3100000000</v>
      </c>
      <c r="K210" s="617">
        <f>SUM(K211:K212)</f>
        <v>3100000000</v>
      </c>
      <c r="L210" s="617">
        <f>SUM(L211:L212)</f>
        <v>3100000000</v>
      </c>
      <c r="M210" s="71">
        <f>SUM(M211:M212)</f>
        <v>2100000000</v>
      </c>
      <c r="N210" s="61"/>
      <c r="O210" s="61"/>
      <c r="P210" s="61"/>
      <c r="Q210" s="564"/>
      <c r="R210" s="489"/>
      <c r="S210" s="350"/>
      <c r="T210" s="1453"/>
      <c r="U210" s="1453"/>
      <c r="V210" s="1453"/>
    </row>
    <row r="211" spans="2:22" s="1363" customFormat="1" ht="15" customHeight="1" x14ac:dyDescent="0.25">
      <c r="B211" s="1356"/>
      <c r="C211" s="1357"/>
      <c r="D211" s="1239"/>
      <c r="E211" s="1239"/>
      <c r="F211" s="1358" t="s">
        <v>46</v>
      </c>
      <c r="G211" s="1359" t="s">
        <v>304</v>
      </c>
      <c r="H211" s="1307" t="s">
        <v>305</v>
      </c>
      <c r="I211" s="1360">
        <v>1</v>
      </c>
      <c r="J211" s="1344">
        <v>3000000000</v>
      </c>
      <c r="K211" s="1344">
        <v>3000000000</v>
      </c>
      <c r="L211" s="1344">
        <v>3000000000</v>
      </c>
      <c r="M211" s="1345">
        <f>3000000000-1000000000</f>
        <v>2000000000</v>
      </c>
      <c r="N211" s="1320"/>
      <c r="O211" s="1320"/>
      <c r="P211" s="1320"/>
      <c r="Q211" s="1361"/>
      <c r="R211" s="1322"/>
      <c r="S211" s="1362"/>
      <c r="T211" s="1454"/>
      <c r="U211" s="1454"/>
      <c r="V211" s="1454"/>
    </row>
    <row r="212" spans="2:22" s="1363" customFormat="1" ht="12.75" customHeight="1" x14ac:dyDescent="0.25">
      <c r="B212" s="1356"/>
      <c r="C212" s="1357"/>
      <c r="D212" s="1239"/>
      <c r="E212" s="1239"/>
      <c r="F212" s="1358" t="s">
        <v>46</v>
      </c>
      <c r="G212" s="1359" t="s">
        <v>306</v>
      </c>
      <c r="H212" s="1307" t="s">
        <v>307</v>
      </c>
      <c r="I212" s="1360">
        <v>1</v>
      </c>
      <c r="J212" s="1344">
        <v>100000000</v>
      </c>
      <c r="K212" s="1344">
        <v>100000000</v>
      </c>
      <c r="L212" s="1344">
        <v>100000000</v>
      </c>
      <c r="M212" s="1345">
        <v>100000000</v>
      </c>
      <c r="N212" s="1320"/>
      <c r="O212" s="1320"/>
      <c r="P212" s="1320"/>
      <c r="Q212" s="1361"/>
      <c r="R212" s="1322"/>
      <c r="S212" s="1362"/>
      <c r="T212" s="1454"/>
      <c r="U212" s="1454"/>
      <c r="V212" s="1454"/>
    </row>
    <row r="213" spans="2:22" s="343" customFormat="1" ht="23.25" customHeight="1" x14ac:dyDescent="0.25">
      <c r="B213" s="339"/>
      <c r="C213" s="766"/>
      <c r="D213" s="759"/>
      <c r="E213" s="759" t="s">
        <v>210</v>
      </c>
      <c r="F213" s="1563" t="s">
        <v>308</v>
      </c>
      <c r="G213" s="1564"/>
      <c r="H213" s="1308" t="s">
        <v>309</v>
      </c>
      <c r="I213" s="768">
        <v>1</v>
      </c>
      <c r="J213" s="617">
        <f>2500000000-323917029-50000000</f>
        <v>2126082971</v>
      </c>
      <c r="K213" s="617">
        <f>2500000000-323917029-50000000</f>
        <v>2126082971</v>
      </c>
      <c r="L213" s="617">
        <v>2126082971</v>
      </c>
      <c r="M213" s="71">
        <f>600000000-300000000</f>
        <v>300000000</v>
      </c>
      <c r="N213" s="1011"/>
      <c r="O213" s="1011"/>
      <c r="P213" s="61"/>
      <c r="Q213" s="565"/>
      <c r="R213" s="489"/>
      <c r="S213" s="344"/>
      <c r="T213" s="1455"/>
      <c r="U213" s="1455"/>
      <c r="V213" s="1455"/>
    </row>
    <row r="214" spans="2:22" s="345" customFormat="1" ht="23.25" customHeight="1" x14ac:dyDescent="0.25">
      <c r="B214" s="339"/>
      <c r="C214" s="54"/>
      <c r="D214" s="55"/>
      <c r="E214" s="55">
        <v>11</v>
      </c>
      <c r="F214" s="1550" t="s">
        <v>310</v>
      </c>
      <c r="G214" s="1551"/>
      <c r="H214" s="1307" t="s">
        <v>416</v>
      </c>
      <c r="I214" s="440"/>
      <c r="J214" s="617">
        <f>J215+J216</f>
        <v>800000000</v>
      </c>
      <c r="K214" s="617">
        <f>K215+K216</f>
        <v>800000000</v>
      </c>
      <c r="L214" s="617">
        <f>L215+L216</f>
        <v>800000000</v>
      </c>
      <c r="M214" s="71">
        <f>M215+M216</f>
        <v>800000000</v>
      </c>
      <c r="N214" s="61"/>
      <c r="O214" s="61"/>
      <c r="P214" s="61"/>
      <c r="Q214" s="566"/>
      <c r="R214" s="489"/>
      <c r="S214" s="346"/>
      <c r="T214" s="1456"/>
      <c r="U214" s="1456"/>
      <c r="V214" s="1456"/>
    </row>
    <row r="215" spans="2:22" s="1363" customFormat="1" ht="27" customHeight="1" x14ac:dyDescent="0.25">
      <c r="B215" s="1356"/>
      <c r="C215" s="1357"/>
      <c r="D215" s="1239"/>
      <c r="E215" s="1239"/>
      <c r="F215" s="1364" t="s">
        <v>46</v>
      </c>
      <c r="G215" s="1359" t="s">
        <v>311</v>
      </c>
      <c r="H215" s="1307" t="s">
        <v>312</v>
      </c>
      <c r="I215" s="1360"/>
      <c r="J215" s="1344">
        <v>500000000</v>
      </c>
      <c r="K215" s="1344">
        <v>500000000</v>
      </c>
      <c r="L215" s="1344">
        <v>500000000</v>
      </c>
      <c r="M215" s="1345">
        <v>500000000</v>
      </c>
      <c r="N215" s="1320"/>
      <c r="O215" s="1320"/>
      <c r="P215" s="1320"/>
      <c r="Q215" s="1361"/>
      <c r="R215" s="1322"/>
      <c r="S215" s="1362"/>
      <c r="T215" s="1454"/>
      <c r="U215" s="1454"/>
      <c r="V215" s="1454"/>
    </row>
    <row r="216" spans="2:22" s="1363" customFormat="1" ht="25.5" customHeight="1" x14ac:dyDescent="0.25">
      <c r="B216" s="1356"/>
      <c r="C216" s="1357"/>
      <c r="D216" s="1239"/>
      <c r="E216" s="1239"/>
      <c r="F216" s="1364" t="s">
        <v>46</v>
      </c>
      <c r="G216" s="1359" t="s">
        <v>313</v>
      </c>
      <c r="H216" s="1307" t="s">
        <v>314</v>
      </c>
      <c r="I216" s="1360"/>
      <c r="J216" s="1344">
        <v>300000000</v>
      </c>
      <c r="K216" s="1344">
        <v>300000000</v>
      </c>
      <c r="L216" s="1344">
        <v>300000000</v>
      </c>
      <c r="M216" s="1345">
        <v>300000000</v>
      </c>
      <c r="N216" s="1320"/>
      <c r="O216" s="1320"/>
      <c r="P216" s="1320"/>
      <c r="Q216" s="1361"/>
      <c r="R216" s="1322"/>
      <c r="S216" s="1362"/>
      <c r="T216" s="1454"/>
      <c r="U216" s="1454"/>
      <c r="V216" s="1454"/>
    </row>
    <row r="217" spans="2:22" s="29" customFormat="1" ht="27" customHeight="1" x14ac:dyDescent="0.25">
      <c r="B217" s="13"/>
      <c r="C217" s="87"/>
      <c r="D217" s="109"/>
      <c r="E217" s="109">
        <v>12</v>
      </c>
      <c r="F217" s="1542" t="s">
        <v>315</v>
      </c>
      <c r="G217" s="1543"/>
      <c r="H217" s="1309" t="s">
        <v>316</v>
      </c>
      <c r="I217" s="353">
        <v>1</v>
      </c>
      <c r="J217" s="660">
        <v>200000000</v>
      </c>
      <c r="K217" s="660">
        <v>200000000</v>
      </c>
      <c r="L217" s="660">
        <v>200000000</v>
      </c>
      <c r="M217" s="60">
        <v>200000000</v>
      </c>
      <c r="N217" s="61"/>
      <c r="O217" s="61"/>
      <c r="P217" s="61"/>
      <c r="Q217" s="567"/>
      <c r="R217" s="489"/>
      <c r="S217" s="28"/>
      <c r="T217" s="396"/>
      <c r="U217" s="396"/>
      <c r="V217" s="396"/>
    </row>
    <row r="218" spans="2:22" s="29" customFormat="1" ht="26.25" customHeight="1" x14ac:dyDescent="0.25">
      <c r="B218" s="13"/>
      <c r="C218" s="771"/>
      <c r="D218" s="140"/>
      <c r="E218" s="140">
        <v>13</v>
      </c>
      <c r="F218" s="1712" t="s">
        <v>317</v>
      </c>
      <c r="G218" s="1713"/>
      <c r="H218" s="1310" t="s">
        <v>318</v>
      </c>
      <c r="I218" s="773" t="s">
        <v>319</v>
      </c>
      <c r="J218" s="774">
        <v>100000000</v>
      </c>
      <c r="K218" s="774">
        <v>100000000</v>
      </c>
      <c r="L218" s="774">
        <v>100000000</v>
      </c>
      <c r="M218" s="775">
        <v>300000000</v>
      </c>
      <c r="N218" s="1012"/>
      <c r="O218" s="1012"/>
      <c r="P218" s="7"/>
      <c r="Q218" s="568"/>
      <c r="R218" s="1129"/>
      <c r="S218" s="28"/>
      <c r="T218" s="396"/>
      <c r="U218" s="396"/>
      <c r="V218" s="396"/>
    </row>
    <row r="219" spans="2:22" s="29" customFormat="1" ht="20.25" customHeight="1" x14ac:dyDescent="0.25">
      <c r="B219" s="13"/>
      <c r="C219" s="771"/>
      <c r="D219" s="140"/>
      <c r="E219" s="140">
        <v>14</v>
      </c>
      <c r="F219" s="1582" t="s">
        <v>320</v>
      </c>
      <c r="G219" s="1583"/>
      <c r="H219" s="1310" t="s">
        <v>321</v>
      </c>
      <c r="I219" s="773" t="s">
        <v>319</v>
      </c>
      <c r="J219" s="774">
        <v>200000000</v>
      </c>
      <c r="K219" s="774">
        <v>200000000</v>
      </c>
      <c r="L219" s="774">
        <v>200000000</v>
      </c>
      <c r="M219" s="775">
        <v>600000000</v>
      </c>
      <c r="N219" s="1012"/>
      <c r="O219" s="1012"/>
      <c r="P219" s="7"/>
      <c r="Q219" s="568"/>
      <c r="R219" s="1129"/>
      <c r="S219" s="28"/>
      <c r="T219" s="396"/>
      <c r="U219" s="396"/>
      <c r="V219" s="396"/>
    </row>
    <row r="220" spans="2:22" s="62" customFormat="1" ht="26.25" customHeight="1" x14ac:dyDescent="0.25">
      <c r="B220" s="59"/>
      <c r="C220" s="771"/>
      <c r="D220" s="140"/>
      <c r="E220" s="140">
        <v>15</v>
      </c>
      <c r="F220" s="1712" t="s">
        <v>322</v>
      </c>
      <c r="G220" s="1713"/>
      <c r="H220" s="1310" t="s">
        <v>323</v>
      </c>
      <c r="I220" s="777" t="s">
        <v>86</v>
      </c>
      <c r="J220" s="774">
        <v>100000000</v>
      </c>
      <c r="K220" s="774">
        <v>100000000</v>
      </c>
      <c r="L220" s="774">
        <v>100000000</v>
      </c>
      <c r="M220" s="775">
        <v>250000000</v>
      </c>
      <c r="N220" s="1012"/>
      <c r="O220" s="1012"/>
      <c r="P220" s="7"/>
      <c r="Q220" s="569"/>
      <c r="R220" s="1129"/>
      <c r="S220" s="148"/>
      <c r="T220" s="731"/>
      <c r="U220" s="731"/>
      <c r="V220" s="731"/>
    </row>
    <row r="221" spans="2:22" s="29" customFormat="1" ht="26.25" customHeight="1" x14ac:dyDescent="0.25">
      <c r="B221" s="13"/>
      <c r="C221" s="87"/>
      <c r="D221" s="109"/>
      <c r="E221" s="109">
        <v>16</v>
      </c>
      <c r="F221" s="1542" t="s">
        <v>324</v>
      </c>
      <c r="G221" s="1543"/>
      <c r="H221" s="1311" t="s">
        <v>325</v>
      </c>
      <c r="I221" s="353">
        <v>1</v>
      </c>
      <c r="J221" s="660">
        <v>200000000</v>
      </c>
      <c r="K221" s="660">
        <v>200000000</v>
      </c>
      <c r="L221" s="660">
        <v>200000000</v>
      </c>
      <c r="M221" s="60">
        <v>200000000</v>
      </c>
      <c r="N221" s="61"/>
      <c r="O221" s="61"/>
      <c r="P221" s="61"/>
      <c r="Q221" s="567"/>
      <c r="R221" s="489"/>
      <c r="S221" s="28"/>
      <c r="T221" s="396"/>
      <c r="U221" s="396"/>
      <c r="V221" s="396"/>
    </row>
    <row r="222" spans="2:22" ht="3" customHeight="1" x14ac:dyDescent="0.25">
      <c r="C222" s="95"/>
      <c r="D222" s="96"/>
      <c r="E222" s="96"/>
      <c r="F222" s="1540"/>
      <c r="G222" s="1541"/>
      <c r="H222" s="355"/>
      <c r="I222" s="356"/>
      <c r="J222" s="661"/>
      <c r="K222" s="661"/>
      <c r="L222" s="661"/>
      <c r="M222" s="357"/>
      <c r="N222" s="1013"/>
      <c r="O222" s="1013"/>
      <c r="P222" s="358"/>
      <c r="Q222" s="570"/>
      <c r="R222" s="505"/>
    </row>
    <row r="223" spans="2:22" s="15" customFormat="1" ht="25.5" customHeight="1" x14ac:dyDescent="0.25">
      <c r="B223" s="13"/>
      <c r="C223" s="1506" t="s">
        <v>456</v>
      </c>
      <c r="D223" s="1507"/>
      <c r="E223" s="1535" t="s">
        <v>326</v>
      </c>
      <c r="F223" s="1536"/>
      <c r="G223" s="1537"/>
      <c r="H223" s="359" t="s">
        <v>327</v>
      </c>
      <c r="I223" s="360"/>
      <c r="J223" s="641">
        <f>SUM(J224:J225)</f>
        <v>750000000</v>
      </c>
      <c r="K223" s="641">
        <f>SUM(K224:K225)</f>
        <v>750000000</v>
      </c>
      <c r="L223" s="641">
        <f>SUM(L224:L225)</f>
        <v>750000000</v>
      </c>
      <c r="M223" s="233">
        <f>SUM(M224:M225)</f>
        <v>750000000</v>
      </c>
      <c r="N223" s="1001"/>
      <c r="O223" s="1001"/>
      <c r="P223" s="26"/>
      <c r="Q223" s="571"/>
      <c r="R223" s="495"/>
      <c r="T223" s="21"/>
      <c r="U223" s="21"/>
      <c r="V223" s="21"/>
    </row>
    <row r="224" spans="2:22" s="29" customFormat="1" ht="18" customHeight="1" x14ac:dyDescent="0.25">
      <c r="B224" s="13"/>
      <c r="C224" s="39"/>
      <c r="D224" s="140"/>
      <c r="E224" s="109" t="s">
        <v>5</v>
      </c>
      <c r="F224" s="1533" t="s">
        <v>329</v>
      </c>
      <c r="G224" s="1534"/>
      <c r="H224" s="1365" t="s">
        <v>330</v>
      </c>
      <c r="I224" s="142" t="s">
        <v>328</v>
      </c>
      <c r="J224" s="629">
        <v>400000000</v>
      </c>
      <c r="K224" s="629">
        <v>400000000</v>
      </c>
      <c r="L224" s="629">
        <v>400000000</v>
      </c>
      <c r="M224" s="143">
        <v>400000000</v>
      </c>
      <c r="N224" s="144"/>
      <c r="O224" s="144"/>
      <c r="P224" s="144"/>
      <c r="Q224" s="561"/>
      <c r="R224" s="492"/>
      <c r="T224" s="396"/>
      <c r="U224" s="396"/>
      <c r="V224" s="396"/>
    </row>
    <row r="225" spans="2:22" s="29" customFormat="1" ht="18" customHeight="1" x14ac:dyDescent="0.25">
      <c r="B225" s="13"/>
      <c r="C225" s="39"/>
      <c r="D225" s="140"/>
      <c r="E225" s="109" t="s">
        <v>10</v>
      </c>
      <c r="F225" s="1533" t="s">
        <v>331</v>
      </c>
      <c r="G225" s="1534"/>
      <c r="H225" s="1365" t="s">
        <v>332</v>
      </c>
      <c r="I225" s="142" t="s">
        <v>319</v>
      </c>
      <c r="J225" s="629">
        <v>350000000</v>
      </c>
      <c r="K225" s="629">
        <v>350000000</v>
      </c>
      <c r="L225" s="629">
        <v>350000000</v>
      </c>
      <c r="M225" s="143">
        <v>350000000</v>
      </c>
      <c r="N225" s="144"/>
      <c r="O225" s="144"/>
      <c r="P225" s="144"/>
      <c r="Q225" s="561"/>
      <c r="R225" s="492"/>
      <c r="T225" s="396"/>
      <c r="U225" s="396"/>
      <c r="V225" s="396"/>
    </row>
    <row r="226" spans="2:22" ht="5.25" customHeight="1" x14ac:dyDescent="0.25">
      <c r="C226" s="363"/>
      <c r="D226" s="364"/>
      <c r="E226" s="276"/>
      <c r="F226" s="365"/>
      <c r="G226" s="366"/>
      <c r="H226" s="367"/>
      <c r="I226" s="368"/>
      <c r="J226" s="651"/>
      <c r="K226" s="651"/>
      <c r="L226" s="651"/>
      <c r="M226" s="290"/>
      <c r="N226" s="1007"/>
      <c r="O226" s="1007"/>
      <c r="Q226" s="572"/>
    </row>
    <row r="227" spans="2:22" s="15" customFormat="1" ht="27.75" customHeight="1" x14ac:dyDescent="0.25">
      <c r="B227" s="13"/>
      <c r="C227" s="1506" t="s">
        <v>457</v>
      </c>
      <c r="D227" s="1507"/>
      <c r="E227" s="1535" t="s">
        <v>333</v>
      </c>
      <c r="F227" s="1536"/>
      <c r="G227" s="1537"/>
      <c r="H227" s="359" t="s">
        <v>334</v>
      </c>
      <c r="I227" s="360"/>
      <c r="J227" s="641">
        <f>J228+J229</f>
        <v>2200000000</v>
      </c>
      <c r="K227" s="641">
        <f>K228+K229</f>
        <v>2200000000</v>
      </c>
      <c r="L227" s="641">
        <f>L228+L229</f>
        <v>2200000000</v>
      </c>
      <c r="M227" s="233">
        <f>M228+M229</f>
        <v>2976082971</v>
      </c>
      <c r="N227" s="1001"/>
      <c r="O227" s="1001"/>
      <c r="P227" s="26"/>
      <c r="Q227" s="571"/>
      <c r="R227" s="495"/>
      <c r="T227" s="21"/>
      <c r="U227" s="21"/>
      <c r="V227" s="21"/>
    </row>
    <row r="228" spans="2:22" s="29" customFormat="1" ht="18.75" customHeight="1" x14ac:dyDescent="0.25">
      <c r="B228" s="13"/>
      <c r="C228" s="39"/>
      <c r="D228" s="140"/>
      <c r="E228" s="109" t="s">
        <v>5</v>
      </c>
      <c r="F228" s="1538" t="s">
        <v>335</v>
      </c>
      <c r="G228" s="1539"/>
      <c r="H228" s="1365" t="s">
        <v>336</v>
      </c>
      <c r="I228" s="142" t="s">
        <v>109</v>
      </c>
      <c r="J228" s="629">
        <f>2000000000</f>
        <v>2000000000</v>
      </c>
      <c r="K228" s="629">
        <f>2000000000</f>
        <v>2000000000</v>
      </c>
      <c r="L228" s="629">
        <v>2000000000</v>
      </c>
      <c r="M228" s="143">
        <f>2000000000+776082971</f>
        <v>2776082971</v>
      </c>
      <c r="N228" s="144"/>
      <c r="O228" s="144"/>
      <c r="P228" s="144"/>
      <c r="Q228" s="561"/>
      <c r="R228" s="492"/>
      <c r="T228" s="396"/>
      <c r="U228" s="396"/>
      <c r="V228" s="396"/>
    </row>
    <row r="229" spans="2:22" s="362" customFormat="1" ht="18" customHeight="1" x14ac:dyDescent="0.25">
      <c r="B229" s="13"/>
      <c r="C229" s="39"/>
      <c r="D229" s="140"/>
      <c r="E229" s="109" t="s">
        <v>10</v>
      </c>
      <c r="F229" s="1533" t="s">
        <v>339</v>
      </c>
      <c r="G229" s="1534"/>
      <c r="H229" s="1365" t="s">
        <v>340</v>
      </c>
      <c r="I229" s="370" t="s">
        <v>244</v>
      </c>
      <c r="J229" s="662">
        <v>200000000</v>
      </c>
      <c r="K229" s="662">
        <v>200000000</v>
      </c>
      <c r="L229" s="662">
        <v>200000000</v>
      </c>
      <c r="M229" s="371">
        <v>200000000</v>
      </c>
      <c r="N229" s="144"/>
      <c r="O229" s="144"/>
      <c r="P229" s="144"/>
      <c r="Q229" s="573"/>
      <c r="R229" s="492"/>
      <c r="S229" s="361"/>
      <c r="T229" s="932"/>
      <c r="U229" s="932"/>
      <c r="V229" s="932"/>
    </row>
    <row r="230" spans="2:22" ht="3.75" customHeight="1" x14ac:dyDescent="0.25">
      <c r="C230" s="363"/>
      <c r="D230" s="364"/>
      <c r="E230" s="276"/>
      <c r="F230" s="365"/>
      <c r="G230" s="366"/>
      <c r="H230" s="367"/>
      <c r="I230" s="368"/>
      <c r="J230" s="651"/>
      <c r="K230" s="651"/>
      <c r="L230" s="651"/>
      <c r="M230" s="290"/>
      <c r="N230" s="1007"/>
      <c r="O230" s="1007"/>
      <c r="Q230" s="572"/>
    </row>
    <row r="231" spans="2:22" s="15" customFormat="1" ht="28.5" customHeight="1" x14ac:dyDescent="0.25">
      <c r="B231" s="13"/>
      <c r="C231" s="1506" t="s">
        <v>458</v>
      </c>
      <c r="D231" s="1507"/>
      <c r="E231" s="1535" t="s">
        <v>341</v>
      </c>
      <c r="F231" s="1536"/>
      <c r="G231" s="1537"/>
      <c r="H231" s="359" t="s">
        <v>342</v>
      </c>
      <c r="I231" s="360"/>
      <c r="J231" s="641">
        <f>SUM(J232:J236)</f>
        <v>1550000000</v>
      </c>
      <c r="K231" s="641">
        <f>SUM(K232:K236)</f>
        <v>1550000000</v>
      </c>
      <c r="L231" s="641">
        <f>SUM(L232:L236)</f>
        <v>1550000000</v>
      </c>
      <c r="M231" s="233">
        <f>SUM(M232:M236)</f>
        <v>1550000000</v>
      </c>
      <c r="N231" s="1001"/>
      <c r="O231" s="1001"/>
      <c r="P231" s="26"/>
      <c r="Q231" s="571"/>
      <c r="R231" s="495"/>
      <c r="T231" s="21"/>
      <c r="U231" s="21"/>
      <c r="V231" s="21"/>
    </row>
    <row r="232" spans="2:22" s="29" customFormat="1" ht="21" customHeight="1" x14ac:dyDescent="0.25">
      <c r="B232" s="13"/>
      <c r="C232" s="39"/>
      <c r="D232" s="140"/>
      <c r="E232" s="109" t="s">
        <v>5</v>
      </c>
      <c r="F232" s="1533" t="s">
        <v>343</v>
      </c>
      <c r="G232" s="1534"/>
      <c r="H232" s="1366" t="s">
        <v>344</v>
      </c>
      <c r="I232" s="370" t="s">
        <v>345</v>
      </c>
      <c r="J232" s="662">
        <v>600000000</v>
      </c>
      <c r="K232" s="662">
        <v>600000000</v>
      </c>
      <c r="L232" s="662">
        <v>600000000</v>
      </c>
      <c r="M232" s="371">
        <v>600000000</v>
      </c>
      <c r="N232" s="144"/>
      <c r="O232" s="144"/>
      <c r="P232" s="144"/>
      <c r="Q232" s="573"/>
      <c r="R232" s="492"/>
      <c r="T232" s="396"/>
      <c r="U232" s="396"/>
      <c r="V232" s="396"/>
    </row>
    <row r="233" spans="2:22" s="29" customFormat="1" ht="15.75" customHeight="1" x14ac:dyDescent="0.25">
      <c r="B233" s="13"/>
      <c r="C233" s="39"/>
      <c r="D233" s="140"/>
      <c r="E233" s="109" t="s">
        <v>10</v>
      </c>
      <c r="F233" s="1533" t="s">
        <v>346</v>
      </c>
      <c r="G233" s="1534"/>
      <c r="H233" s="1367" t="s">
        <v>347</v>
      </c>
      <c r="I233" s="370" t="s">
        <v>348</v>
      </c>
      <c r="J233" s="662">
        <v>400000000</v>
      </c>
      <c r="K233" s="662">
        <v>400000000</v>
      </c>
      <c r="L233" s="662">
        <v>400000000</v>
      </c>
      <c r="M233" s="371">
        <v>400000000</v>
      </c>
      <c r="N233" s="144"/>
      <c r="O233" s="144"/>
      <c r="P233" s="144"/>
      <c r="Q233" s="573"/>
      <c r="R233" s="492"/>
      <c r="T233" s="396"/>
      <c r="U233" s="396"/>
      <c r="V233" s="396"/>
    </row>
    <row r="234" spans="2:22" s="29" customFormat="1" ht="25.5" customHeight="1" x14ac:dyDescent="0.25">
      <c r="B234" s="13"/>
      <c r="C234" s="39"/>
      <c r="D234" s="140"/>
      <c r="E234" s="109" t="s">
        <v>13</v>
      </c>
      <c r="F234" s="1531" t="s">
        <v>349</v>
      </c>
      <c r="G234" s="1532"/>
      <c r="H234" s="1365" t="s">
        <v>350</v>
      </c>
      <c r="I234" s="142" t="s">
        <v>351</v>
      </c>
      <c r="J234" s="663">
        <v>200000000</v>
      </c>
      <c r="K234" s="663">
        <v>200000000</v>
      </c>
      <c r="L234" s="663">
        <v>200000000</v>
      </c>
      <c r="M234" s="372">
        <v>200000000</v>
      </c>
      <c r="N234" s="373"/>
      <c r="O234" s="373"/>
      <c r="P234" s="373"/>
      <c r="Q234" s="561"/>
      <c r="R234" s="492"/>
      <c r="T234" s="396"/>
      <c r="U234" s="396"/>
      <c r="V234" s="396"/>
    </row>
    <row r="235" spans="2:22" s="29" customFormat="1" ht="26.25" customHeight="1" x14ac:dyDescent="0.25">
      <c r="B235" s="13"/>
      <c r="C235" s="39"/>
      <c r="D235" s="140"/>
      <c r="E235" s="109" t="s">
        <v>16</v>
      </c>
      <c r="F235" s="1533" t="s">
        <v>352</v>
      </c>
      <c r="G235" s="1534"/>
      <c r="H235" s="1365" t="s">
        <v>350</v>
      </c>
      <c r="I235" s="142" t="s">
        <v>351</v>
      </c>
      <c r="J235" s="629">
        <v>200000000</v>
      </c>
      <c r="K235" s="629">
        <v>200000000</v>
      </c>
      <c r="L235" s="629">
        <v>200000000</v>
      </c>
      <c r="M235" s="143">
        <v>200000000</v>
      </c>
      <c r="N235" s="144"/>
      <c r="O235" s="144"/>
      <c r="P235" s="144"/>
      <c r="Q235" s="561"/>
      <c r="R235" s="492"/>
      <c r="T235" s="396"/>
      <c r="U235" s="396"/>
      <c r="V235" s="396"/>
    </row>
    <row r="236" spans="2:22" s="29" customFormat="1" ht="20.25" customHeight="1" x14ac:dyDescent="0.25">
      <c r="B236" s="13"/>
      <c r="C236" s="39"/>
      <c r="D236" s="140"/>
      <c r="E236" s="109" t="s">
        <v>19</v>
      </c>
      <c r="F236" s="1533" t="s">
        <v>353</v>
      </c>
      <c r="G236" s="1534"/>
      <c r="H236" s="1365" t="s">
        <v>354</v>
      </c>
      <c r="I236" s="142" t="s">
        <v>92</v>
      </c>
      <c r="J236" s="629">
        <v>150000000</v>
      </c>
      <c r="K236" s="629">
        <v>150000000</v>
      </c>
      <c r="L236" s="629">
        <v>150000000</v>
      </c>
      <c r="M236" s="143">
        <v>150000000</v>
      </c>
      <c r="N236" s="144"/>
      <c r="O236" s="144"/>
      <c r="P236" s="144"/>
      <c r="Q236" s="561"/>
      <c r="R236" s="492"/>
      <c r="T236" s="396"/>
      <c r="U236" s="396"/>
      <c r="V236" s="396"/>
    </row>
    <row r="237" spans="2:22" s="229" customFormat="1" ht="4.5" customHeight="1" x14ac:dyDescent="0.25">
      <c r="B237" s="59"/>
      <c r="C237" s="374"/>
      <c r="D237" s="375"/>
      <c r="E237" s="375"/>
      <c r="F237" s="1527"/>
      <c r="G237" s="1528"/>
      <c r="H237" s="376"/>
      <c r="I237" s="377"/>
      <c r="J237" s="664"/>
      <c r="K237" s="664"/>
      <c r="L237" s="664"/>
      <c r="M237" s="378"/>
      <c r="N237" s="101"/>
      <c r="O237" s="101"/>
      <c r="P237" s="101"/>
      <c r="Q237" s="574"/>
      <c r="R237" s="491"/>
      <c r="T237" s="925"/>
      <c r="U237" s="925"/>
      <c r="V237" s="925"/>
    </row>
    <row r="238" spans="2:22" s="15" customFormat="1" ht="37.5" customHeight="1" x14ac:dyDescent="0.25">
      <c r="B238" s="13"/>
      <c r="C238" s="1501" t="s">
        <v>459</v>
      </c>
      <c r="D238" s="1502"/>
      <c r="E238" s="1512" t="s">
        <v>355</v>
      </c>
      <c r="F238" s="1513"/>
      <c r="G238" s="1514"/>
      <c r="H238" s="231" t="s">
        <v>356</v>
      </c>
      <c r="I238" s="379"/>
      <c r="J238" s="649">
        <f>J239+J242+J244+J247+J248+J249+J251+J252</f>
        <v>5200000000</v>
      </c>
      <c r="K238" s="649">
        <f>K239+K242+K244+K247+K248+K249+K251+K252</f>
        <v>5200000000</v>
      </c>
      <c r="L238" s="649">
        <f>L239+L242+L244+L247+L248+L249+L251+L252</f>
        <v>5200000000</v>
      </c>
      <c r="M238" s="283">
        <f>M239+M242+M244+M247+M248+M249+M251+M252</f>
        <v>5200000000</v>
      </c>
      <c r="N238" s="1005"/>
      <c r="O238" s="1005"/>
      <c r="P238" s="104"/>
      <c r="Q238" s="575"/>
      <c r="R238" s="14"/>
      <c r="S238" s="145"/>
      <c r="T238" s="21"/>
      <c r="U238" s="396"/>
      <c r="V238" s="21"/>
    </row>
    <row r="239" spans="2:22" s="82" customFormat="1" ht="24.75" customHeight="1" x14ac:dyDescent="0.25">
      <c r="B239" s="59"/>
      <c r="C239" s="49"/>
      <c r="D239" s="79"/>
      <c r="E239" s="140" t="s">
        <v>5</v>
      </c>
      <c r="F239" s="1529" t="s">
        <v>357</v>
      </c>
      <c r="G239" s="1530"/>
      <c r="H239" s="380" t="s">
        <v>358</v>
      </c>
      <c r="I239" s="381" t="s">
        <v>244</v>
      </c>
      <c r="J239" s="659">
        <f>J240+J241</f>
        <v>950000000</v>
      </c>
      <c r="K239" s="659">
        <f>K240+K241</f>
        <v>950000000</v>
      </c>
      <c r="L239" s="659">
        <f>L240+L241</f>
        <v>950000000</v>
      </c>
      <c r="M239" s="331">
        <f>M240+M241</f>
        <v>950000000</v>
      </c>
      <c r="N239" s="319"/>
      <c r="O239" s="319"/>
      <c r="P239" s="319"/>
      <c r="Q239" s="576"/>
      <c r="R239" s="504"/>
      <c r="S239" s="63"/>
      <c r="T239" s="155"/>
      <c r="U239" s="731"/>
      <c r="V239" s="155"/>
    </row>
    <row r="240" spans="2:22" s="82" customFormat="1" ht="16.5" customHeight="1" x14ac:dyDescent="0.25">
      <c r="B240" s="59"/>
      <c r="C240" s="49"/>
      <c r="D240" s="79"/>
      <c r="E240" s="40"/>
      <c r="F240" s="382" t="s">
        <v>46</v>
      </c>
      <c r="G240" s="383" t="s">
        <v>357</v>
      </c>
      <c r="H240" s="384"/>
      <c r="I240" s="385"/>
      <c r="J240" s="665">
        <v>550000000</v>
      </c>
      <c r="K240" s="665">
        <v>550000000</v>
      </c>
      <c r="L240" s="665">
        <v>550000000</v>
      </c>
      <c r="M240" s="386">
        <v>550000000</v>
      </c>
      <c r="N240" s="387"/>
      <c r="O240" s="387"/>
      <c r="P240" s="387"/>
      <c r="Q240" s="577"/>
      <c r="R240" s="506"/>
      <c r="S240" s="63"/>
      <c r="T240" s="155"/>
      <c r="U240" s="731"/>
      <c r="V240" s="155"/>
    </row>
    <row r="241" spans="2:22" s="306" customFormat="1" x14ac:dyDescent="0.25">
      <c r="B241" s="13"/>
      <c r="C241" s="263"/>
      <c r="D241" s="388"/>
      <c r="E241" s="156"/>
      <c r="F241" s="389" t="s">
        <v>46</v>
      </c>
      <c r="G241" s="390" t="s">
        <v>359</v>
      </c>
      <c r="H241" s="391"/>
      <c r="I241" s="392"/>
      <c r="J241" s="666">
        <v>400000000</v>
      </c>
      <c r="K241" s="666">
        <v>400000000</v>
      </c>
      <c r="L241" s="666">
        <v>400000000</v>
      </c>
      <c r="M241" s="393">
        <v>400000000</v>
      </c>
      <c r="N241" s="387"/>
      <c r="O241" s="387"/>
      <c r="P241" s="387"/>
      <c r="Q241" s="578"/>
      <c r="R241" s="506"/>
      <c r="T241" s="928"/>
      <c r="U241" s="928"/>
      <c r="V241" s="928"/>
    </row>
    <row r="242" spans="2:22" s="29" customFormat="1" ht="21.75" customHeight="1" x14ac:dyDescent="0.25">
      <c r="B242" s="13"/>
      <c r="C242" s="49"/>
      <c r="D242" s="79"/>
      <c r="E242" s="109" t="s">
        <v>10</v>
      </c>
      <c r="F242" s="1517" t="s">
        <v>360</v>
      </c>
      <c r="G242" s="1518"/>
      <c r="H242" s="394" t="s">
        <v>361</v>
      </c>
      <c r="I242" s="381" t="s">
        <v>244</v>
      </c>
      <c r="J242" s="667">
        <f>J243</f>
        <v>1000000000</v>
      </c>
      <c r="K242" s="667">
        <f>K243</f>
        <v>1000000000</v>
      </c>
      <c r="L242" s="667">
        <f>L243</f>
        <v>1000000000</v>
      </c>
      <c r="M242" s="395">
        <f>M243</f>
        <v>1000000000</v>
      </c>
      <c r="N242" s="319"/>
      <c r="O242" s="319"/>
      <c r="P242" s="319"/>
      <c r="Q242" s="576"/>
      <c r="R242" s="504"/>
      <c r="T242" s="396"/>
      <c r="U242" s="396"/>
      <c r="V242" s="396"/>
    </row>
    <row r="243" spans="2:22" s="306" customFormat="1" ht="27.75" customHeight="1" x14ac:dyDescent="0.25">
      <c r="B243" s="13"/>
      <c r="C243" s="263"/>
      <c r="D243" s="388"/>
      <c r="E243" s="156"/>
      <c r="F243" s="389" t="s">
        <v>46</v>
      </c>
      <c r="G243" s="390" t="s">
        <v>362</v>
      </c>
      <c r="H243" s="391"/>
      <c r="I243" s="392"/>
      <c r="J243" s="666">
        <v>1000000000</v>
      </c>
      <c r="K243" s="666">
        <v>1000000000</v>
      </c>
      <c r="L243" s="666">
        <v>1000000000</v>
      </c>
      <c r="M243" s="393">
        <v>1000000000</v>
      </c>
      <c r="N243" s="387"/>
      <c r="O243" s="387"/>
      <c r="P243" s="387"/>
      <c r="Q243" s="578"/>
      <c r="R243" s="506"/>
      <c r="S243" s="307"/>
      <c r="T243" s="928"/>
      <c r="U243" s="928"/>
      <c r="V243" s="928"/>
    </row>
    <row r="244" spans="2:22" s="29" customFormat="1" ht="21.75" customHeight="1" x14ac:dyDescent="0.25">
      <c r="B244" s="13"/>
      <c r="C244" s="49"/>
      <c r="D244" s="79"/>
      <c r="E244" s="109" t="s">
        <v>13</v>
      </c>
      <c r="F244" s="1519" t="s">
        <v>363</v>
      </c>
      <c r="G244" s="1520"/>
      <c r="H244" s="394" t="s">
        <v>364</v>
      </c>
      <c r="I244" s="381" t="s">
        <v>365</v>
      </c>
      <c r="J244" s="667">
        <f>SUM(J245:J246)</f>
        <v>550000000</v>
      </c>
      <c r="K244" s="667">
        <f>SUM(K245:K246)</f>
        <v>550000000</v>
      </c>
      <c r="L244" s="667">
        <f>SUM(L245:L246)</f>
        <v>550000000</v>
      </c>
      <c r="M244" s="395">
        <f>SUM(M245:M246)</f>
        <v>550000000</v>
      </c>
      <c r="N244" s="319"/>
      <c r="O244" s="319"/>
      <c r="P244" s="319"/>
      <c r="Q244" s="576"/>
      <c r="R244" s="504"/>
      <c r="S244" s="396"/>
      <c r="T244" s="396"/>
      <c r="U244" s="396"/>
      <c r="V244" s="396"/>
    </row>
    <row r="245" spans="2:22" s="306" customFormat="1" ht="15" customHeight="1" x14ac:dyDescent="0.25">
      <c r="B245" s="13"/>
      <c r="C245" s="263"/>
      <c r="D245" s="388"/>
      <c r="E245" s="156"/>
      <c r="F245" s="397" t="s">
        <v>46</v>
      </c>
      <c r="G245" s="398" t="s">
        <v>366</v>
      </c>
      <c r="H245" s="391"/>
      <c r="I245" s="392" t="s">
        <v>244</v>
      </c>
      <c r="J245" s="666">
        <v>300000000</v>
      </c>
      <c r="K245" s="666">
        <v>300000000</v>
      </c>
      <c r="L245" s="666">
        <v>300000000</v>
      </c>
      <c r="M245" s="393">
        <v>300000000</v>
      </c>
      <c r="N245" s="387"/>
      <c r="O245" s="387"/>
      <c r="P245" s="387"/>
      <c r="Q245" s="578"/>
      <c r="R245" s="506"/>
      <c r="T245" s="928"/>
      <c r="U245" s="928"/>
      <c r="V245" s="928"/>
    </row>
    <row r="246" spans="2:22" s="306" customFormat="1" ht="15" customHeight="1" x14ac:dyDescent="0.25">
      <c r="B246" s="13"/>
      <c r="C246" s="263"/>
      <c r="D246" s="388"/>
      <c r="E246" s="156"/>
      <c r="F246" s="397" t="s">
        <v>46</v>
      </c>
      <c r="G246" s="398" t="s">
        <v>367</v>
      </c>
      <c r="H246" s="391"/>
      <c r="I246" s="392" t="s">
        <v>244</v>
      </c>
      <c r="J246" s="666">
        <v>250000000</v>
      </c>
      <c r="K246" s="666">
        <v>250000000</v>
      </c>
      <c r="L246" s="666">
        <v>250000000</v>
      </c>
      <c r="M246" s="393">
        <v>250000000</v>
      </c>
      <c r="N246" s="387"/>
      <c r="O246" s="387"/>
      <c r="P246" s="387"/>
      <c r="Q246" s="578"/>
      <c r="R246" s="506"/>
      <c r="S246" s="307"/>
      <c r="T246" s="928"/>
      <c r="U246" s="928"/>
      <c r="V246" s="928"/>
    </row>
    <row r="247" spans="2:22" s="306" customFormat="1" ht="27" customHeight="1" x14ac:dyDescent="0.25">
      <c r="B247" s="13"/>
      <c r="C247" s="49"/>
      <c r="D247" s="79"/>
      <c r="E247" s="109" t="s">
        <v>16</v>
      </c>
      <c r="F247" s="1521" t="s">
        <v>368</v>
      </c>
      <c r="G247" s="1522"/>
      <c r="H247" s="354" t="s">
        <v>369</v>
      </c>
      <c r="I247" s="381">
        <v>0.2</v>
      </c>
      <c r="J247" s="667">
        <v>1000000000</v>
      </c>
      <c r="K247" s="667">
        <v>1000000000</v>
      </c>
      <c r="L247" s="667">
        <v>1000000000</v>
      </c>
      <c r="M247" s="395">
        <v>1000000000</v>
      </c>
      <c r="N247" s="319"/>
      <c r="O247" s="319"/>
      <c r="P247" s="319"/>
      <c r="Q247" s="576"/>
      <c r="R247" s="504"/>
      <c r="T247" s="928"/>
      <c r="U247" s="928"/>
      <c r="V247" s="928"/>
    </row>
    <row r="248" spans="2:22" s="306" customFormat="1" ht="22.5" customHeight="1" x14ac:dyDescent="0.25">
      <c r="B248" s="13"/>
      <c r="C248" s="399"/>
      <c r="D248" s="109"/>
      <c r="E248" s="109" t="s">
        <v>19</v>
      </c>
      <c r="F248" s="1517" t="s">
        <v>371</v>
      </c>
      <c r="G248" s="1518"/>
      <c r="H248" s="394" t="s">
        <v>372</v>
      </c>
      <c r="I248" s="381" t="s">
        <v>370</v>
      </c>
      <c r="J248" s="667">
        <v>600000000</v>
      </c>
      <c r="K248" s="667">
        <v>600000000</v>
      </c>
      <c r="L248" s="667">
        <v>600000000</v>
      </c>
      <c r="M248" s="395">
        <v>600000000</v>
      </c>
      <c r="N248" s="319"/>
      <c r="O248" s="319"/>
      <c r="P248" s="319"/>
      <c r="Q248" s="576"/>
      <c r="R248" s="504"/>
      <c r="T248" s="928"/>
      <c r="U248" s="928"/>
      <c r="V248" s="928"/>
    </row>
    <row r="249" spans="2:22" s="29" customFormat="1" ht="18.75" customHeight="1" x14ac:dyDescent="0.25">
      <c r="B249" s="13"/>
      <c r="C249" s="400"/>
      <c r="D249" s="77"/>
      <c r="E249" s="77" t="s">
        <v>27</v>
      </c>
      <c r="F249" s="1523" t="s">
        <v>373</v>
      </c>
      <c r="G249" s="1524"/>
      <c r="H249" s="401" t="s">
        <v>374</v>
      </c>
      <c r="I249" s="402" t="s">
        <v>370</v>
      </c>
      <c r="J249" s="659">
        <f>SUM(J250:J250)</f>
        <v>400000000</v>
      </c>
      <c r="K249" s="659">
        <f>SUM(K250:K250)</f>
        <v>400000000</v>
      </c>
      <c r="L249" s="659">
        <f>SUM(L250:L250)</f>
        <v>400000000</v>
      </c>
      <c r="M249" s="331">
        <f>SUM(M250:M250)</f>
        <v>400000000</v>
      </c>
      <c r="N249" s="319"/>
      <c r="O249" s="319"/>
      <c r="P249" s="319"/>
      <c r="Q249" s="579"/>
      <c r="R249" s="504"/>
      <c r="T249" s="396"/>
      <c r="U249" s="396"/>
      <c r="V249" s="396"/>
    </row>
    <row r="250" spans="2:22" s="306" customFormat="1" ht="15.75" customHeight="1" x14ac:dyDescent="0.25">
      <c r="B250" s="13"/>
      <c r="C250" s="403"/>
      <c r="D250" s="156"/>
      <c r="E250" s="156"/>
      <c r="F250" s="404" t="s">
        <v>46</v>
      </c>
      <c r="G250" s="405" t="s">
        <v>375</v>
      </c>
      <c r="H250" s="391"/>
      <c r="I250" s="392"/>
      <c r="J250" s="666">
        <v>400000000</v>
      </c>
      <c r="K250" s="666">
        <v>400000000</v>
      </c>
      <c r="L250" s="666">
        <v>400000000</v>
      </c>
      <c r="M250" s="393">
        <v>400000000</v>
      </c>
      <c r="N250" s="387"/>
      <c r="O250" s="387"/>
      <c r="P250" s="387"/>
      <c r="Q250" s="578"/>
      <c r="R250" s="506"/>
      <c r="T250" s="928"/>
      <c r="U250" s="928"/>
      <c r="V250" s="928"/>
    </row>
    <row r="251" spans="2:22" s="29" customFormat="1" ht="21" customHeight="1" x14ac:dyDescent="0.25">
      <c r="B251" s="13"/>
      <c r="C251" s="399"/>
      <c r="D251" s="109"/>
      <c r="E251" s="109" t="s">
        <v>30</v>
      </c>
      <c r="F251" s="1525" t="s">
        <v>376</v>
      </c>
      <c r="G251" s="1526"/>
      <c r="H251" s="354" t="s">
        <v>377</v>
      </c>
      <c r="I251" s="406" t="s">
        <v>370</v>
      </c>
      <c r="J251" s="668">
        <v>300000000</v>
      </c>
      <c r="K251" s="668">
        <v>300000000</v>
      </c>
      <c r="L251" s="668">
        <v>300000000</v>
      </c>
      <c r="M251" s="407">
        <v>300000000</v>
      </c>
      <c r="N251" s="319"/>
      <c r="O251" s="319"/>
      <c r="P251" s="319"/>
      <c r="Q251" s="580"/>
      <c r="R251" s="504"/>
      <c r="T251" s="396"/>
      <c r="U251" s="396"/>
      <c r="V251" s="396"/>
    </row>
    <row r="252" spans="2:22" s="29" customFormat="1" ht="21" customHeight="1" x14ac:dyDescent="0.25">
      <c r="B252" s="13"/>
      <c r="C252" s="399"/>
      <c r="D252" s="109"/>
      <c r="E252" s="109" t="s">
        <v>8</v>
      </c>
      <c r="F252" s="1510" t="s">
        <v>409</v>
      </c>
      <c r="G252" s="1511"/>
      <c r="H252" s="394" t="s">
        <v>410</v>
      </c>
      <c r="I252" s="381" t="s">
        <v>370</v>
      </c>
      <c r="J252" s="669">
        <v>400000000</v>
      </c>
      <c r="K252" s="669">
        <v>400000000</v>
      </c>
      <c r="L252" s="669">
        <v>400000000</v>
      </c>
      <c r="M252" s="408">
        <v>400000000</v>
      </c>
      <c r="N252" s="1014"/>
      <c r="O252" s="1014"/>
      <c r="P252" s="319"/>
      <c r="Q252" s="576"/>
      <c r="R252" s="504"/>
      <c r="T252" s="396"/>
      <c r="U252" s="396"/>
      <c r="V252" s="396"/>
    </row>
    <row r="253" spans="2:22" s="29" customFormat="1" ht="3.75" customHeight="1" x14ac:dyDescent="0.25">
      <c r="B253" s="13"/>
      <c r="C253" s="399"/>
      <c r="D253" s="109"/>
      <c r="E253" s="109"/>
      <c r="F253" s="409"/>
      <c r="G253" s="410"/>
      <c r="H253" s="354"/>
      <c r="I253" s="406"/>
      <c r="J253" s="670"/>
      <c r="K253" s="670"/>
      <c r="L253" s="670"/>
      <c r="M253" s="411"/>
      <c r="N253" s="1014"/>
      <c r="O253" s="1014"/>
      <c r="P253" s="319"/>
      <c r="Q253" s="580"/>
      <c r="R253" s="504"/>
      <c r="T253" s="396"/>
      <c r="U253" s="396"/>
      <c r="V253" s="396"/>
    </row>
    <row r="254" spans="2:22" s="29" customFormat="1" ht="35.25" customHeight="1" x14ac:dyDescent="0.25">
      <c r="B254" s="13"/>
      <c r="C254" s="1501" t="s">
        <v>460</v>
      </c>
      <c r="D254" s="1502"/>
      <c r="E254" s="1512" t="s">
        <v>378</v>
      </c>
      <c r="F254" s="1513"/>
      <c r="G254" s="1514"/>
      <c r="H254" s="412" t="s">
        <v>379</v>
      </c>
      <c r="I254" s="413"/>
      <c r="J254" s="649">
        <f>J255+J256+J257</f>
        <v>500000000</v>
      </c>
      <c r="K254" s="649">
        <f>K255+K256+K257</f>
        <v>500000000</v>
      </c>
      <c r="L254" s="649">
        <f>L255+L256+L257</f>
        <v>500000000</v>
      </c>
      <c r="M254" s="283">
        <f>M255+M256+M257</f>
        <v>500000000</v>
      </c>
      <c r="N254" s="1005"/>
      <c r="O254" s="1005"/>
      <c r="P254" s="104"/>
      <c r="Q254" s="581"/>
      <c r="R254" s="14"/>
      <c r="T254" s="396"/>
      <c r="U254" s="396"/>
      <c r="V254" s="396"/>
    </row>
    <row r="255" spans="2:22" s="29" customFormat="1" ht="21" customHeight="1" x14ac:dyDescent="0.25">
      <c r="B255" s="13"/>
      <c r="C255" s="399"/>
      <c r="D255" s="109"/>
      <c r="E255" s="109" t="s">
        <v>5</v>
      </c>
      <c r="F255" s="1515" t="s">
        <v>380</v>
      </c>
      <c r="G255" s="1516"/>
      <c r="H255" s="401" t="s">
        <v>381</v>
      </c>
      <c r="I255" s="402" t="s">
        <v>244</v>
      </c>
      <c r="J255" s="659">
        <v>175000000</v>
      </c>
      <c r="K255" s="659">
        <v>175000000</v>
      </c>
      <c r="L255" s="659">
        <v>175000000</v>
      </c>
      <c r="M255" s="331">
        <v>175000000</v>
      </c>
      <c r="N255" s="319"/>
      <c r="O255" s="319"/>
      <c r="P255" s="319"/>
      <c r="Q255" s="579"/>
      <c r="R255" s="504"/>
      <c r="T255" s="396"/>
      <c r="U255" s="396"/>
      <c r="V255" s="396"/>
    </row>
    <row r="256" spans="2:22" s="29" customFormat="1" ht="27.75" customHeight="1" x14ac:dyDescent="0.25">
      <c r="B256" s="13"/>
      <c r="C256" s="399"/>
      <c r="D256" s="109"/>
      <c r="E256" s="109" t="s">
        <v>10</v>
      </c>
      <c r="F256" s="1510" t="s">
        <v>382</v>
      </c>
      <c r="G256" s="1511"/>
      <c r="H256" s="394" t="s">
        <v>383</v>
      </c>
      <c r="I256" s="381" t="s">
        <v>244</v>
      </c>
      <c r="J256" s="667">
        <v>175000000</v>
      </c>
      <c r="K256" s="667">
        <v>175000000</v>
      </c>
      <c r="L256" s="667">
        <v>175000000</v>
      </c>
      <c r="M256" s="395">
        <v>175000000</v>
      </c>
      <c r="N256" s="319"/>
      <c r="O256" s="319"/>
      <c r="P256" s="319"/>
      <c r="Q256" s="576"/>
      <c r="R256" s="504"/>
      <c r="T256" s="396"/>
      <c r="U256" s="396"/>
      <c r="V256" s="396"/>
    </row>
    <row r="257" spans="2:22" s="29" customFormat="1" ht="30" customHeight="1" x14ac:dyDescent="0.25">
      <c r="B257" s="13"/>
      <c r="C257" s="399"/>
      <c r="D257" s="109"/>
      <c r="E257" s="109" t="s">
        <v>13</v>
      </c>
      <c r="F257" s="1510" t="s">
        <v>384</v>
      </c>
      <c r="G257" s="1511"/>
      <c r="H257" s="394" t="s">
        <v>385</v>
      </c>
      <c r="I257" s="381" t="s">
        <v>244</v>
      </c>
      <c r="J257" s="667">
        <v>150000000</v>
      </c>
      <c r="K257" s="667">
        <v>150000000</v>
      </c>
      <c r="L257" s="667">
        <v>150000000</v>
      </c>
      <c r="M257" s="395">
        <v>150000000</v>
      </c>
      <c r="N257" s="319"/>
      <c r="O257" s="319"/>
      <c r="P257" s="319"/>
      <c r="Q257" s="576"/>
      <c r="R257" s="504"/>
      <c r="T257" s="396"/>
      <c r="U257" s="396"/>
      <c r="V257" s="396"/>
    </row>
    <row r="258" spans="2:22" s="29" customFormat="1" ht="16.5" hidden="1" customHeight="1" x14ac:dyDescent="0.25">
      <c r="B258" s="13"/>
      <c r="C258" s="399"/>
      <c r="D258" s="109"/>
      <c r="E258" s="109"/>
      <c r="F258" s="404" t="s">
        <v>46</v>
      </c>
      <c r="G258" s="405" t="s">
        <v>386</v>
      </c>
      <c r="H258" s="391"/>
      <c r="I258" s="392"/>
      <c r="J258" s="671">
        <v>300000000</v>
      </c>
      <c r="K258" s="671">
        <v>300000000</v>
      </c>
      <c r="L258" s="671">
        <v>300000000</v>
      </c>
      <c r="M258" s="414">
        <v>300000000</v>
      </c>
      <c r="N258" s="1015"/>
      <c r="O258" s="1015"/>
      <c r="P258" s="387"/>
      <c r="Q258" s="578"/>
      <c r="R258" s="506"/>
      <c r="T258" s="396"/>
      <c r="U258" s="396"/>
      <c r="V258" s="396"/>
    </row>
    <row r="259" spans="2:22" ht="3.75" customHeight="1" x14ac:dyDescent="0.25">
      <c r="C259" s="415"/>
      <c r="D259" s="338"/>
      <c r="E259" s="338"/>
      <c r="F259" s="416"/>
      <c r="G259" s="417"/>
      <c r="H259" s="367"/>
      <c r="I259" s="418"/>
      <c r="J259" s="648"/>
      <c r="K259" s="648"/>
      <c r="L259" s="648"/>
      <c r="M259" s="281"/>
      <c r="N259" s="993"/>
      <c r="O259" s="993"/>
      <c r="P259" s="101"/>
      <c r="Q259" s="582"/>
      <c r="R259" s="491"/>
    </row>
    <row r="260" spans="2:22" s="15" customFormat="1" ht="36.75" customHeight="1" x14ac:dyDescent="0.25">
      <c r="B260" s="13"/>
      <c r="C260" s="1501" t="s">
        <v>461</v>
      </c>
      <c r="D260" s="1502"/>
      <c r="E260" s="1512" t="s">
        <v>387</v>
      </c>
      <c r="F260" s="1513"/>
      <c r="G260" s="1514"/>
      <c r="H260" s="231" t="s">
        <v>388</v>
      </c>
      <c r="I260" s="379"/>
      <c r="J260" s="649">
        <f>J261</f>
        <v>300000000</v>
      </c>
      <c r="K260" s="649">
        <f>K261</f>
        <v>300000000</v>
      </c>
      <c r="L260" s="649">
        <f>L261</f>
        <v>300000000</v>
      </c>
      <c r="M260" s="283">
        <f>M261</f>
        <v>300000000</v>
      </c>
      <c r="N260" s="1005"/>
      <c r="O260" s="1005"/>
      <c r="P260" s="104"/>
      <c r="Q260" s="575"/>
      <c r="R260" s="14"/>
      <c r="T260" s="21"/>
      <c r="U260" s="396"/>
      <c r="V260" s="21"/>
    </row>
    <row r="261" spans="2:22" s="29" customFormat="1" ht="31.5" customHeight="1" x14ac:dyDescent="0.25">
      <c r="B261" s="13"/>
      <c r="C261" s="76"/>
      <c r="D261" s="77"/>
      <c r="E261" s="77" t="s">
        <v>5</v>
      </c>
      <c r="F261" s="1503" t="s">
        <v>390</v>
      </c>
      <c r="G261" s="1504"/>
      <c r="H261" s="293" t="s">
        <v>388</v>
      </c>
      <c r="I261" s="419">
        <v>1</v>
      </c>
      <c r="J261" s="659">
        <v>300000000</v>
      </c>
      <c r="K261" s="659">
        <v>300000000</v>
      </c>
      <c r="L261" s="659">
        <v>300000000</v>
      </c>
      <c r="M261" s="331">
        <v>300000000</v>
      </c>
      <c r="N261" s="319"/>
      <c r="O261" s="319"/>
      <c r="P261" s="319"/>
      <c r="Q261" s="583"/>
      <c r="R261" s="504"/>
      <c r="T261" s="396"/>
      <c r="U261" s="396"/>
      <c r="V261" s="396"/>
    </row>
    <row r="262" spans="2:22" ht="3" customHeight="1" thickBot="1" x14ac:dyDescent="0.3">
      <c r="C262" s="420"/>
      <c r="D262" s="421"/>
      <c r="E262" s="421"/>
      <c r="F262" s="422"/>
      <c r="G262" s="423"/>
      <c r="H262" s="424"/>
      <c r="I262" s="425"/>
      <c r="J262" s="672"/>
      <c r="K262" s="672"/>
      <c r="L262" s="672"/>
      <c r="M262" s="426"/>
      <c r="N262" s="993"/>
      <c r="O262" s="993"/>
      <c r="P262" s="101"/>
      <c r="Q262" s="539"/>
      <c r="R262" s="491"/>
    </row>
    <row r="263" spans="2:22" ht="17.25" customHeight="1" thickTop="1" x14ac:dyDescent="0.25"/>
    <row r="264" spans="2:22" s="1096" customFormat="1" ht="18.75" customHeight="1" x14ac:dyDescent="0.25">
      <c r="B264" s="1087"/>
      <c r="C264" s="1088"/>
      <c r="D264" s="1089"/>
      <c r="E264" s="1089"/>
      <c r="F264" s="1089"/>
      <c r="G264" s="1090"/>
      <c r="H264" s="1091"/>
      <c r="I264" s="1092"/>
      <c r="J264" s="1415" t="s">
        <v>591</v>
      </c>
      <c r="K264" s="1097"/>
      <c r="L264" s="1097"/>
      <c r="M264" s="1097"/>
      <c r="N264" s="1093"/>
      <c r="O264" s="1093"/>
      <c r="P264" s="1094"/>
      <c r="Q264" s="1092"/>
      <c r="R264" s="1095"/>
      <c r="T264" s="1457"/>
      <c r="U264" s="1457"/>
      <c r="V264" s="1457"/>
    </row>
    <row r="265" spans="2:22" ht="16.5" customHeight="1" x14ac:dyDescent="0.25">
      <c r="J265" s="1415" t="s">
        <v>588</v>
      </c>
    </row>
    <row r="266" spans="2:22" ht="15" customHeight="1" x14ac:dyDescent="0.25">
      <c r="J266" s="1415" t="s">
        <v>589</v>
      </c>
    </row>
    <row r="267" spans="2:22" ht="15.75" customHeight="1" x14ac:dyDescent="0.25">
      <c r="J267" s="1416"/>
    </row>
    <row r="268" spans="2:22" ht="15.75" customHeight="1" x14ac:dyDescent="0.25">
      <c r="J268" s="1416"/>
    </row>
    <row r="269" spans="2:22" ht="14.25" customHeight="1" x14ac:dyDescent="0.25">
      <c r="J269" s="1416"/>
    </row>
    <row r="270" spans="2:22" ht="15.75" customHeight="1" x14ac:dyDescent="0.25">
      <c r="J270" s="1416"/>
    </row>
    <row r="271" spans="2:22" ht="15" customHeight="1" x14ac:dyDescent="0.25">
      <c r="J271" s="1417" t="s">
        <v>590</v>
      </c>
    </row>
    <row r="272" spans="2:22" ht="13.5" customHeight="1" x14ac:dyDescent="0.25">
      <c r="J272" s="1415" t="s">
        <v>592</v>
      </c>
    </row>
    <row r="273" spans="10:10" ht="13.5" customHeight="1" x14ac:dyDescent="0.25">
      <c r="J273" s="1415" t="s">
        <v>517</v>
      </c>
    </row>
  </sheetData>
  <mergeCells count="168">
    <mergeCell ref="Q8:Q9"/>
    <mergeCell ref="C10:E10"/>
    <mergeCell ref="F10:G10"/>
    <mergeCell ref="C2:M2"/>
    <mergeCell ref="C3:P3"/>
    <mergeCell ref="C4:P4"/>
    <mergeCell ref="C6:D6"/>
    <mergeCell ref="E6:G6"/>
    <mergeCell ref="C8:E9"/>
    <mergeCell ref="F8:G9"/>
    <mergeCell ref="H8:H9"/>
    <mergeCell ref="I8:I9"/>
    <mergeCell ref="J8:J9"/>
    <mergeCell ref="D11:G11"/>
    <mergeCell ref="D12:I12"/>
    <mergeCell ref="D13:G13"/>
    <mergeCell ref="E14:G14"/>
    <mergeCell ref="E15:G15"/>
    <mergeCell ref="E16:G16"/>
    <mergeCell ref="K8:K9"/>
    <mergeCell ref="L8:L9"/>
    <mergeCell ref="M8:M9"/>
    <mergeCell ref="F23:G23"/>
    <mergeCell ref="D24:G24"/>
    <mergeCell ref="E25:G25"/>
    <mergeCell ref="E26:G26"/>
    <mergeCell ref="E27:G27"/>
    <mergeCell ref="E28:G28"/>
    <mergeCell ref="E17:G17"/>
    <mergeCell ref="E18:G18"/>
    <mergeCell ref="E19:G19"/>
    <mergeCell ref="E20:G20"/>
    <mergeCell ref="E21:G21"/>
    <mergeCell ref="E22:G22"/>
    <mergeCell ref="F35:G35"/>
    <mergeCell ref="E36:G36"/>
    <mergeCell ref="E37:G37"/>
    <mergeCell ref="E38:G38"/>
    <mergeCell ref="F39:G39"/>
    <mergeCell ref="D40:G40"/>
    <mergeCell ref="E29:G29"/>
    <mergeCell ref="F30:G30"/>
    <mergeCell ref="F31:G31"/>
    <mergeCell ref="F32:G32"/>
    <mergeCell ref="E33:G33"/>
    <mergeCell ref="F34:G34"/>
    <mergeCell ref="E47:G47"/>
    <mergeCell ref="E48:G48"/>
    <mergeCell ref="E49:G49"/>
    <mergeCell ref="E50:G50"/>
    <mergeCell ref="D52:I52"/>
    <mergeCell ref="C53:D53"/>
    <mergeCell ref="E53:G53"/>
    <mergeCell ref="E41:G41"/>
    <mergeCell ref="E42:G42"/>
    <mergeCell ref="D43:G43"/>
    <mergeCell ref="E44:G44"/>
    <mergeCell ref="E45:G45"/>
    <mergeCell ref="D46:G46"/>
    <mergeCell ref="F67:G67"/>
    <mergeCell ref="F68:G68"/>
    <mergeCell ref="F69:G69"/>
    <mergeCell ref="F76:G76"/>
    <mergeCell ref="F90:G90"/>
    <mergeCell ref="F91:G91"/>
    <mergeCell ref="F54:G54"/>
    <mergeCell ref="F55:G55"/>
    <mergeCell ref="F59:G59"/>
    <mergeCell ref="F62:G62"/>
    <mergeCell ref="F63:G63"/>
    <mergeCell ref="F66:G66"/>
    <mergeCell ref="F126:G126"/>
    <mergeCell ref="F128:G128"/>
    <mergeCell ref="F130:G130"/>
    <mergeCell ref="F132:G132"/>
    <mergeCell ref="F137:G137"/>
    <mergeCell ref="C143:D143"/>
    <mergeCell ref="E143:G143"/>
    <mergeCell ref="F93:G93"/>
    <mergeCell ref="F97:G97"/>
    <mergeCell ref="F102:G102"/>
    <mergeCell ref="F112:G112"/>
    <mergeCell ref="F115:G115"/>
    <mergeCell ref="F120:G120"/>
    <mergeCell ref="F153:G153"/>
    <mergeCell ref="F154:G154"/>
    <mergeCell ref="F155:G155"/>
    <mergeCell ref="F156:G156"/>
    <mergeCell ref="F157:G157"/>
    <mergeCell ref="F161:G161"/>
    <mergeCell ref="F144:G144"/>
    <mergeCell ref="F145:G145"/>
    <mergeCell ref="F146:G146"/>
    <mergeCell ref="F147:G147"/>
    <mergeCell ref="F151:G151"/>
    <mergeCell ref="F152:G152"/>
    <mergeCell ref="F168:G168"/>
    <mergeCell ref="C169:D169"/>
    <mergeCell ref="E169:G169"/>
    <mergeCell ref="F170:G170"/>
    <mergeCell ref="F171:G171"/>
    <mergeCell ref="F172:G172"/>
    <mergeCell ref="F162:G162"/>
    <mergeCell ref="F163:G163"/>
    <mergeCell ref="F164:G164"/>
    <mergeCell ref="F165:G165"/>
    <mergeCell ref="F166:G166"/>
    <mergeCell ref="F167:G167"/>
    <mergeCell ref="F180:G180"/>
    <mergeCell ref="C182:D182"/>
    <mergeCell ref="E182:G182"/>
    <mergeCell ref="F183:G183"/>
    <mergeCell ref="F187:G187"/>
    <mergeCell ref="F190:G190"/>
    <mergeCell ref="F173:G173"/>
    <mergeCell ref="C174:D174"/>
    <mergeCell ref="E174:G174"/>
    <mergeCell ref="F175:G175"/>
    <mergeCell ref="F176:G176"/>
    <mergeCell ref="F178:G178"/>
    <mergeCell ref="F213:G213"/>
    <mergeCell ref="F214:G214"/>
    <mergeCell ref="F217:G217"/>
    <mergeCell ref="F218:G218"/>
    <mergeCell ref="F219:G219"/>
    <mergeCell ref="F220:G220"/>
    <mergeCell ref="F193:G193"/>
    <mergeCell ref="F196:G196"/>
    <mergeCell ref="F200:G200"/>
    <mergeCell ref="F203:G203"/>
    <mergeCell ref="F206:G206"/>
    <mergeCell ref="F210:G210"/>
    <mergeCell ref="C227:D227"/>
    <mergeCell ref="E227:G227"/>
    <mergeCell ref="F228:G228"/>
    <mergeCell ref="F229:G229"/>
    <mergeCell ref="C231:D231"/>
    <mergeCell ref="E231:G231"/>
    <mergeCell ref="F221:G221"/>
    <mergeCell ref="F222:G222"/>
    <mergeCell ref="C223:D223"/>
    <mergeCell ref="E223:G223"/>
    <mergeCell ref="F224:G224"/>
    <mergeCell ref="F225:G225"/>
    <mergeCell ref="C238:D238"/>
    <mergeCell ref="E238:G238"/>
    <mergeCell ref="F239:G239"/>
    <mergeCell ref="F242:G242"/>
    <mergeCell ref="F244:G244"/>
    <mergeCell ref="F247:G247"/>
    <mergeCell ref="F232:G232"/>
    <mergeCell ref="F233:G233"/>
    <mergeCell ref="F234:G234"/>
    <mergeCell ref="F235:G235"/>
    <mergeCell ref="F236:G236"/>
    <mergeCell ref="F237:G237"/>
    <mergeCell ref="F255:G255"/>
    <mergeCell ref="F256:G256"/>
    <mergeCell ref="F257:G257"/>
    <mergeCell ref="C260:D260"/>
    <mergeCell ref="E260:G260"/>
    <mergeCell ref="F261:G261"/>
    <mergeCell ref="F248:G248"/>
    <mergeCell ref="F249:G249"/>
    <mergeCell ref="F251:G251"/>
    <mergeCell ref="F252:G252"/>
    <mergeCell ref="C254:D254"/>
    <mergeCell ref="E254:G254"/>
  </mergeCells>
  <printOptions horizontalCentered="1"/>
  <pageMargins left="0.43307086614173229" right="0.43307086614173229" top="0.59055118110236227" bottom="0.39370078740157483" header="0" footer="0"/>
  <pageSetup paperSize="200" fitToHeight="0" orientation="landscape" useFirstPageNumber="1" r:id="rId1"/>
  <headerFooter>
    <oddFooter>&amp;L&amp;"Cambria,Italic"&amp;7&amp;K05-049&amp;F / &amp;A&amp;C&amp;"Cambria,Italic"&amp;7&amp;K04-021Hal &amp;P dari &amp;N&amp;R&amp;"-,Italic"&amp;7&amp;K09-022&amp;D / &amp;T</oddFooter>
  </headerFooter>
  <rowBreaks count="5" manualBreakCount="5">
    <brk id="54" min="2" max="12" man="1"/>
    <brk id="101" min="2" max="12" man="1"/>
    <brk id="142" min="2" max="12" man="1"/>
    <brk id="189" min="2" max="12" man="1"/>
    <brk id="263" min="2" max="1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M31"/>
  <sheetViews>
    <sheetView zoomScale="85" zoomScaleNormal="85" zoomScaleSheetLayoutView="130" workbookViewId="0">
      <selection activeCell="I20" sqref="I20"/>
    </sheetView>
  </sheetViews>
  <sheetFormatPr defaultRowHeight="12.75" x14ac:dyDescent="0.25"/>
  <cols>
    <col min="1" max="1" width="9" style="53" customWidth="1"/>
    <col min="2" max="2" width="0.5703125" style="13" customWidth="1"/>
    <col min="3" max="3" width="6.28515625" style="427" customWidth="1"/>
    <col min="4" max="4" width="2.7109375" style="428" customWidth="1"/>
    <col min="5" max="5" width="57.7109375" style="429" customWidth="1"/>
    <col min="6" max="6" width="52" style="430" hidden="1" customWidth="1"/>
    <col min="7" max="7" width="18.42578125" style="432" customWidth="1"/>
    <col min="8" max="8" width="18.5703125" style="432" customWidth="1"/>
    <col min="9" max="9" width="16.42578125" style="432" customWidth="1"/>
    <col min="10" max="10" width="22.7109375" style="432" customWidth="1"/>
    <col min="11" max="11" width="0.5703125" style="291" customWidth="1"/>
    <col min="12" max="12" width="10.5703125" style="53" customWidth="1"/>
    <col min="13" max="13" width="15.42578125" style="53" customWidth="1"/>
    <col min="14" max="20" width="10.5703125" style="53" customWidth="1"/>
    <col min="21" max="226" width="9.140625" style="53"/>
    <col min="227" max="227" width="1.7109375" style="53" customWidth="1"/>
    <col min="228" max="229" width="4.7109375" style="53" customWidth="1"/>
    <col min="230" max="230" width="54.140625" style="53" customWidth="1"/>
    <col min="231" max="231" width="52" style="53" customWidth="1"/>
    <col min="232" max="232" width="5.28515625" style="53" customWidth="1"/>
    <col min="233" max="233" width="5.85546875" style="53" bestFit="1" customWidth="1"/>
    <col min="234" max="234" width="16.42578125" style="53" customWidth="1"/>
    <col min="235" max="235" width="4.5703125" style="53" customWidth="1"/>
    <col min="236" max="236" width="14.140625" style="53" customWidth="1"/>
    <col min="237" max="237" width="27.140625" style="53" customWidth="1"/>
    <col min="238" max="238" width="16.28515625" style="53" customWidth="1"/>
    <col min="239" max="239" width="13.85546875" style="53" customWidth="1"/>
    <col min="240" max="482" width="9.140625" style="53"/>
    <col min="483" max="483" width="1.7109375" style="53" customWidth="1"/>
    <col min="484" max="485" width="4.7109375" style="53" customWidth="1"/>
    <col min="486" max="486" width="54.140625" style="53" customWidth="1"/>
    <col min="487" max="487" width="52" style="53" customWidth="1"/>
    <col min="488" max="488" width="5.28515625" style="53" customWidth="1"/>
    <col min="489" max="489" width="5.85546875" style="53" bestFit="1" customWidth="1"/>
    <col min="490" max="490" width="16.42578125" style="53" customWidth="1"/>
    <col min="491" max="491" width="4.5703125" style="53" customWidth="1"/>
    <col min="492" max="492" width="14.140625" style="53" customWidth="1"/>
    <col min="493" max="493" width="27.140625" style="53" customWidth="1"/>
    <col min="494" max="494" width="16.28515625" style="53" customWidth="1"/>
    <col min="495" max="495" width="13.85546875" style="53" customWidth="1"/>
    <col min="496" max="738" width="9.140625" style="53"/>
    <col min="739" max="739" width="1.7109375" style="53" customWidth="1"/>
    <col min="740" max="741" width="4.7109375" style="53" customWidth="1"/>
    <col min="742" max="742" width="54.140625" style="53" customWidth="1"/>
    <col min="743" max="743" width="52" style="53" customWidth="1"/>
    <col min="744" max="744" width="5.28515625" style="53" customWidth="1"/>
    <col min="745" max="745" width="5.85546875" style="53" bestFit="1" customWidth="1"/>
    <col min="746" max="746" width="16.42578125" style="53" customWidth="1"/>
    <col min="747" max="747" width="4.5703125" style="53" customWidth="1"/>
    <col min="748" max="748" width="14.140625" style="53" customWidth="1"/>
    <col min="749" max="749" width="27.140625" style="53" customWidth="1"/>
    <col min="750" max="750" width="16.28515625" style="53" customWidth="1"/>
    <col min="751" max="751" width="13.85546875" style="53" customWidth="1"/>
    <col min="752" max="994" width="9.140625" style="53"/>
    <col min="995" max="995" width="1.7109375" style="53" customWidth="1"/>
    <col min="996" max="997" width="4.7109375" style="53" customWidth="1"/>
    <col min="998" max="998" width="54.140625" style="53" customWidth="1"/>
    <col min="999" max="999" width="52" style="53" customWidth="1"/>
    <col min="1000" max="1000" width="5.28515625" style="53" customWidth="1"/>
    <col min="1001" max="1001" width="5.85546875" style="53" bestFit="1" customWidth="1"/>
    <col min="1002" max="1002" width="16.42578125" style="53" customWidth="1"/>
    <col min="1003" max="1003" width="4.5703125" style="53" customWidth="1"/>
    <col min="1004" max="1004" width="14.140625" style="53" customWidth="1"/>
    <col min="1005" max="1005" width="27.140625" style="53" customWidth="1"/>
    <col min="1006" max="1006" width="16.28515625" style="53" customWidth="1"/>
    <col min="1007" max="1007" width="13.85546875" style="53" customWidth="1"/>
    <col min="1008" max="1250" width="9.140625" style="53"/>
    <col min="1251" max="1251" width="1.7109375" style="53" customWidth="1"/>
    <col min="1252" max="1253" width="4.7109375" style="53" customWidth="1"/>
    <col min="1254" max="1254" width="54.140625" style="53" customWidth="1"/>
    <col min="1255" max="1255" width="52" style="53" customWidth="1"/>
    <col min="1256" max="1256" width="5.28515625" style="53" customWidth="1"/>
    <col min="1257" max="1257" width="5.85546875" style="53" bestFit="1" customWidth="1"/>
    <col min="1258" max="1258" width="16.42578125" style="53" customWidth="1"/>
    <col min="1259" max="1259" width="4.5703125" style="53" customWidth="1"/>
    <col min="1260" max="1260" width="14.140625" style="53" customWidth="1"/>
    <col min="1261" max="1261" width="27.140625" style="53" customWidth="1"/>
    <col min="1262" max="1262" width="16.28515625" style="53" customWidth="1"/>
    <col min="1263" max="1263" width="13.85546875" style="53" customWidth="1"/>
    <col min="1264" max="1506" width="9.140625" style="53"/>
    <col min="1507" max="1507" width="1.7109375" style="53" customWidth="1"/>
    <col min="1508" max="1509" width="4.7109375" style="53" customWidth="1"/>
    <col min="1510" max="1510" width="54.140625" style="53" customWidth="1"/>
    <col min="1511" max="1511" width="52" style="53" customWidth="1"/>
    <col min="1512" max="1512" width="5.28515625" style="53" customWidth="1"/>
    <col min="1513" max="1513" width="5.85546875" style="53" bestFit="1" customWidth="1"/>
    <col min="1514" max="1514" width="16.42578125" style="53" customWidth="1"/>
    <col min="1515" max="1515" width="4.5703125" style="53" customWidth="1"/>
    <col min="1516" max="1516" width="14.140625" style="53" customWidth="1"/>
    <col min="1517" max="1517" width="27.140625" style="53" customWidth="1"/>
    <col min="1518" max="1518" width="16.28515625" style="53" customWidth="1"/>
    <col min="1519" max="1519" width="13.85546875" style="53" customWidth="1"/>
    <col min="1520" max="1762" width="9.140625" style="53"/>
    <col min="1763" max="1763" width="1.7109375" style="53" customWidth="1"/>
    <col min="1764" max="1765" width="4.7109375" style="53" customWidth="1"/>
    <col min="1766" max="1766" width="54.140625" style="53" customWidth="1"/>
    <col min="1767" max="1767" width="52" style="53" customWidth="1"/>
    <col min="1768" max="1768" width="5.28515625" style="53" customWidth="1"/>
    <col min="1769" max="1769" width="5.85546875" style="53" bestFit="1" customWidth="1"/>
    <col min="1770" max="1770" width="16.42578125" style="53" customWidth="1"/>
    <col min="1771" max="1771" width="4.5703125" style="53" customWidth="1"/>
    <col min="1772" max="1772" width="14.140625" style="53" customWidth="1"/>
    <col min="1773" max="1773" width="27.140625" style="53" customWidth="1"/>
    <col min="1774" max="1774" width="16.28515625" style="53" customWidth="1"/>
    <col min="1775" max="1775" width="13.85546875" style="53" customWidth="1"/>
    <col min="1776" max="2018" width="9.140625" style="53"/>
    <col min="2019" max="2019" width="1.7109375" style="53" customWidth="1"/>
    <col min="2020" max="2021" width="4.7109375" style="53" customWidth="1"/>
    <col min="2022" max="2022" width="54.140625" style="53" customWidth="1"/>
    <col min="2023" max="2023" width="52" style="53" customWidth="1"/>
    <col min="2024" max="2024" width="5.28515625" style="53" customWidth="1"/>
    <col min="2025" max="2025" width="5.85546875" style="53" bestFit="1" customWidth="1"/>
    <col min="2026" max="2026" width="16.42578125" style="53" customWidth="1"/>
    <col min="2027" max="2027" width="4.5703125" style="53" customWidth="1"/>
    <col min="2028" max="2028" width="14.140625" style="53" customWidth="1"/>
    <col min="2029" max="2029" width="27.140625" style="53" customWidth="1"/>
    <col min="2030" max="2030" width="16.28515625" style="53" customWidth="1"/>
    <col min="2031" max="2031" width="13.85546875" style="53" customWidth="1"/>
    <col min="2032" max="2274" width="9.140625" style="53"/>
    <col min="2275" max="2275" width="1.7109375" style="53" customWidth="1"/>
    <col min="2276" max="2277" width="4.7109375" style="53" customWidth="1"/>
    <col min="2278" max="2278" width="54.140625" style="53" customWidth="1"/>
    <col min="2279" max="2279" width="52" style="53" customWidth="1"/>
    <col min="2280" max="2280" width="5.28515625" style="53" customWidth="1"/>
    <col min="2281" max="2281" width="5.85546875" style="53" bestFit="1" customWidth="1"/>
    <col min="2282" max="2282" width="16.42578125" style="53" customWidth="1"/>
    <col min="2283" max="2283" width="4.5703125" style="53" customWidth="1"/>
    <col min="2284" max="2284" width="14.140625" style="53" customWidth="1"/>
    <col min="2285" max="2285" width="27.140625" style="53" customWidth="1"/>
    <col min="2286" max="2286" width="16.28515625" style="53" customWidth="1"/>
    <col min="2287" max="2287" width="13.85546875" style="53" customWidth="1"/>
    <col min="2288" max="2530" width="9.140625" style="53"/>
    <col min="2531" max="2531" width="1.7109375" style="53" customWidth="1"/>
    <col min="2532" max="2533" width="4.7109375" style="53" customWidth="1"/>
    <col min="2534" max="2534" width="54.140625" style="53" customWidth="1"/>
    <col min="2535" max="2535" width="52" style="53" customWidth="1"/>
    <col min="2536" max="2536" width="5.28515625" style="53" customWidth="1"/>
    <col min="2537" max="2537" width="5.85546875" style="53" bestFit="1" customWidth="1"/>
    <col min="2538" max="2538" width="16.42578125" style="53" customWidth="1"/>
    <col min="2539" max="2539" width="4.5703125" style="53" customWidth="1"/>
    <col min="2540" max="2540" width="14.140625" style="53" customWidth="1"/>
    <col min="2541" max="2541" width="27.140625" style="53" customWidth="1"/>
    <col min="2542" max="2542" width="16.28515625" style="53" customWidth="1"/>
    <col min="2543" max="2543" width="13.85546875" style="53" customWidth="1"/>
    <col min="2544" max="2786" width="9.140625" style="53"/>
    <col min="2787" max="2787" width="1.7109375" style="53" customWidth="1"/>
    <col min="2788" max="2789" width="4.7109375" style="53" customWidth="1"/>
    <col min="2790" max="2790" width="54.140625" style="53" customWidth="1"/>
    <col min="2791" max="2791" width="52" style="53" customWidth="1"/>
    <col min="2792" max="2792" width="5.28515625" style="53" customWidth="1"/>
    <col min="2793" max="2793" width="5.85546875" style="53" bestFit="1" customWidth="1"/>
    <col min="2794" max="2794" width="16.42578125" style="53" customWidth="1"/>
    <col min="2795" max="2795" width="4.5703125" style="53" customWidth="1"/>
    <col min="2796" max="2796" width="14.140625" style="53" customWidth="1"/>
    <col min="2797" max="2797" width="27.140625" style="53" customWidth="1"/>
    <col min="2798" max="2798" width="16.28515625" style="53" customWidth="1"/>
    <col min="2799" max="2799" width="13.85546875" style="53" customWidth="1"/>
    <col min="2800" max="3042" width="9.140625" style="53"/>
    <col min="3043" max="3043" width="1.7109375" style="53" customWidth="1"/>
    <col min="3044" max="3045" width="4.7109375" style="53" customWidth="1"/>
    <col min="3046" max="3046" width="54.140625" style="53" customWidth="1"/>
    <col min="3047" max="3047" width="52" style="53" customWidth="1"/>
    <col min="3048" max="3048" width="5.28515625" style="53" customWidth="1"/>
    <col min="3049" max="3049" width="5.85546875" style="53" bestFit="1" customWidth="1"/>
    <col min="3050" max="3050" width="16.42578125" style="53" customWidth="1"/>
    <col min="3051" max="3051" width="4.5703125" style="53" customWidth="1"/>
    <col min="3052" max="3052" width="14.140625" style="53" customWidth="1"/>
    <col min="3053" max="3053" width="27.140625" style="53" customWidth="1"/>
    <col min="3054" max="3054" width="16.28515625" style="53" customWidth="1"/>
    <col min="3055" max="3055" width="13.85546875" style="53" customWidth="1"/>
    <col min="3056" max="3298" width="9.140625" style="53"/>
    <col min="3299" max="3299" width="1.7109375" style="53" customWidth="1"/>
    <col min="3300" max="3301" width="4.7109375" style="53" customWidth="1"/>
    <col min="3302" max="3302" width="54.140625" style="53" customWidth="1"/>
    <col min="3303" max="3303" width="52" style="53" customWidth="1"/>
    <col min="3304" max="3304" width="5.28515625" style="53" customWidth="1"/>
    <col min="3305" max="3305" width="5.85546875" style="53" bestFit="1" customWidth="1"/>
    <col min="3306" max="3306" width="16.42578125" style="53" customWidth="1"/>
    <col min="3307" max="3307" width="4.5703125" style="53" customWidth="1"/>
    <col min="3308" max="3308" width="14.140625" style="53" customWidth="1"/>
    <col min="3309" max="3309" width="27.140625" style="53" customWidth="1"/>
    <col min="3310" max="3310" width="16.28515625" style="53" customWidth="1"/>
    <col min="3311" max="3311" width="13.85546875" style="53" customWidth="1"/>
    <col min="3312" max="3554" width="9.140625" style="53"/>
    <col min="3555" max="3555" width="1.7109375" style="53" customWidth="1"/>
    <col min="3556" max="3557" width="4.7109375" style="53" customWidth="1"/>
    <col min="3558" max="3558" width="54.140625" style="53" customWidth="1"/>
    <col min="3559" max="3559" width="52" style="53" customWidth="1"/>
    <col min="3560" max="3560" width="5.28515625" style="53" customWidth="1"/>
    <col min="3561" max="3561" width="5.85546875" style="53" bestFit="1" customWidth="1"/>
    <col min="3562" max="3562" width="16.42578125" style="53" customWidth="1"/>
    <col min="3563" max="3563" width="4.5703125" style="53" customWidth="1"/>
    <col min="3564" max="3564" width="14.140625" style="53" customWidth="1"/>
    <col min="3565" max="3565" width="27.140625" style="53" customWidth="1"/>
    <col min="3566" max="3566" width="16.28515625" style="53" customWidth="1"/>
    <col min="3567" max="3567" width="13.85546875" style="53" customWidth="1"/>
    <col min="3568" max="3810" width="9.140625" style="53"/>
    <col min="3811" max="3811" width="1.7109375" style="53" customWidth="1"/>
    <col min="3812" max="3813" width="4.7109375" style="53" customWidth="1"/>
    <col min="3814" max="3814" width="54.140625" style="53" customWidth="1"/>
    <col min="3815" max="3815" width="52" style="53" customWidth="1"/>
    <col min="3816" max="3816" width="5.28515625" style="53" customWidth="1"/>
    <col min="3817" max="3817" width="5.85546875" style="53" bestFit="1" customWidth="1"/>
    <col min="3818" max="3818" width="16.42578125" style="53" customWidth="1"/>
    <col min="3819" max="3819" width="4.5703125" style="53" customWidth="1"/>
    <col min="3820" max="3820" width="14.140625" style="53" customWidth="1"/>
    <col min="3821" max="3821" width="27.140625" style="53" customWidth="1"/>
    <col min="3822" max="3822" width="16.28515625" style="53" customWidth="1"/>
    <col min="3823" max="3823" width="13.85546875" style="53" customWidth="1"/>
    <col min="3824" max="4066" width="9.140625" style="53"/>
    <col min="4067" max="4067" width="1.7109375" style="53" customWidth="1"/>
    <col min="4068" max="4069" width="4.7109375" style="53" customWidth="1"/>
    <col min="4070" max="4070" width="54.140625" style="53" customWidth="1"/>
    <col min="4071" max="4071" width="52" style="53" customWidth="1"/>
    <col min="4072" max="4072" width="5.28515625" style="53" customWidth="1"/>
    <col min="4073" max="4073" width="5.85546875" style="53" bestFit="1" customWidth="1"/>
    <col min="4074" max="4074" width="16.42578125" style="53" customWidth="1"/>
    <col min="4075" max="4075" width="4.5703125" style="53" customWidth="1"/>
    <col min="4076" max="4076" width="14.140625" style="53" customWidth="1"/>
    <col min="4077" max="4077" width="27.140625" style="53" customWidth="1"/>
    <col min="4078" max="4078" width="16.28515625" style="53" customWidth="1"/>
    <col min="4079" max="4079" width="13.85546875" style="53" customWidth="1"/>
    <col min="4080" max="4322" width="9.140625" style="53"/>
    <col min="4323" max="4323" width="1.7109375" style="53" customWidth="1"/>
    <col min="4324" max="4325" width="4.7109375" style="53" customWidth="1"/>
    <col min="4326" max="4326" width="54.140625" style="53" customWidth="1"/>
    <col min="4327" max="4327" width="52" style="53" customWidth="1"/>
    <col min="4328" max="4328" width="5.28515625" style="53" customWidth="1"/>
    <col min="4329" max="4329" width="5.85546875" style="53" bestFit="1" customWidth="1"/>
    <col min="4330" max="4330" width="16.42578125" style="53" customWidth="1"/>
    <col min="4331" max="4331" width="4.5703125" style="53" customWidth="1"/>
    <col min="4332" max="4332" width="14.140625" style="53" customWidth="1"/>
    <col min="4333" max="4333" width="27.140625" style="53" customWidth="1"/>
    <col min="4334" max="4334" width="16.28515625" style="53" customWidth="1"/>
    <col min="4335" max="4335" width="13.85546875" style="53" customWidth="1"/>
    <col min="4336" max="4578" width="9.140625" style="53"/>
    <col min="4579" max="4579" width="1.7109375" style="53" customWidth="1"/>
    <col min="4580" max="4581" width="4.7109375" style="53" customWidth="1"/>
    <col min="4582" max="4582" width="54.140625" style="53" customWidth="1"/>
    <col min="4583" max="4583" width="52" style="53" customWidth="1"/>
    <col min="4584" max="4584" width="5.28515625" style="53" customWidth="1"/>
    <col min="4585" max="4585" width="5.85546875" style="53" bestFit="1" customWidth="1"/>
    <col min="4586" max="4586" width="16.42578125" style="53" customWidth="1"/>
    <col min="4587" max="4587" width="4.5703125" style="53" customWidth="1"/>
    <col min="4588" max="4588" width="14.140625" style="53" customWidth="1"/>
    <col min="4589" max="4589" width="27.140625" style="53" customWidth="1"/>
    <col min="4590" max="4590" width="16.28515625" style="53" customWidth="1"/>
    <col min="4591" max="4591" width="13.85546875" style="53" customWidth="1"/>
    <col min="4592" max="4834" width="9.140625" style="53"/>
    <col min="4835" max="4835" width="1.7109375" style="53" customWidth="1"/>
    <col min="4836" max="4837" width="4.7109375" style="53" customWidth="1"/>
    <col min="4838" max="4838" width="54.140625" style="53" customWidth="1"/>
    <col min="4839" max="4839" width="52" style="53" customWidth="1"/>
    <col min="4840" max="4840" width="5.28515625" style="53" customWidth="1"/>
    <col min="4841" max="4841" width="5.85546875" style="53" bestFit="1" customWidth="1"/>
    <col min="4842" max="4842" width="16.42578125" style="53" customWidth="1"/>
    <col min="4843" max="4843" width="4.5703125" style="53" customWidth="1"/>
    <col min="4844" max="4844" width="14.140625" style="53" customWidth="1"/>
    <col min="4845" max="4845" width="27.140625" style="53" customWidth="1"/>
    <col min="4846" max="4846" width="16.28515625" style="53" customWidth="1"/>
    <col min="4847" max="4847" width="13.85546875" style="53" customWidth="1"/>
    <col min="4848" max="5090" width="9.140625" style="53"/>
    <col min="5091" max="5091" width="1.7109375" style="53" customWidth="1"/>
    <col min="5092" max="5093" width="4.7109375" style="53" customWidth="1"/>
    <col min="5094" max="5094" width="54.140625" style="53" customWidth="1"/>
    <col min="5095" max="5095" width="52" style="53" customWidth="1"/>
    <col min="5096" max="5096" width="5.28515625" style="53" customWidth="1"/>
    <col min="5097" max="5097" width="5.85546875" style="53" bestFit="1" customWidth="1"/>
    <col min="5098" max="5098" width="16.42578125" style="53" customWidth="1"/>
    <col min="5099" max="5099" width="4.5703125" style="53" customWidth="1"/>
    <col min="5100" max="5100" width="14.140625" style="53" customWidth="1"/>
    <col min="5101" max="5101" width="27.140625" style="53" customWidth="1"/>
    <col min="5102" max="5102" width="16.28515625" style="53" customWidth="1"/>
    <col min="5103" max="5103" width="13.85546875" style="53" customWidth="1"/>
    <col min="5104" max="5346" width="9.140625" style="53"/>
    <col min="5347" max="5347" width="1.7109375" style="53" customWidth="1"/>
    <col min="5348" max="5349" width="4.7109375" style="53" customWidth="1"/>
    <col min="5350" max="5350" width="54.140625" style="53" customWidth="1"/>
    <col min="5351" max="5351" width="52" style="53" customWidth="1"/>
    <col min="5352" max="5352" width="5.28515625" style="53" customWidth="1"/>
    <col min="5353" max="5353" width="5.85546875" style="53" bestFit="1" customWidth="1"/>
    <col min="5354" max="5354" width="16.42578125" style="53" customWidth="1"/>
    <col min="5355" max="5355" width="4.5703125" style="53" customWidth="1"/>
    <col min="5356" max="5356" width="14.140625" style="53" customWidth="1"/>
    <col min="5357" max="5357" width="27.140625" style="53" customWidth="1"/>
    <col min="5358" max="5358" width="16.28515625" style="53" customWidth="1"/>
    <col min="5359" max="5359" width="13.85546875" style="53" customWidth="1"/>
    <col min="5360" max="5602" width="9.140625" style="53"/>
    <col min="5603" max="5603" width="1.7109375" style="53" customWidth="1"/>
    <col min="5604" max="5605" width="4.7109375" style="53" customWidth="1"/>
    <col min="5606" max="5606" width="54.140625" style="53" customWidth="1"/>
    <col min="5607" max="5607" width="52" style="53" customWidth="1"/>
    <col min="5608" max="5608" width="5.28515625" style="53" customWidth="1"/>
    <col min="5609" max="5609" width="5.85546875" style="53" bestFit="1" customWidth="1"/>
    <col min="5610" max="5610" width="16.42578125" style="53" customWidth="1"/>
    <col min="5611" max="5611" width="4.5703125" style="53" customWidth="1"/>
    <col min="5612" max="5612" width="14.140625" style="53" customWidth="1"/>
    <col min="5613" max="5613" width="27.140625" style="53" customWidth="1"/>
    <col min="5614" max="5614" width="16.28515625" style="53" customWidth="1"/>
    <col min="5615" max="5615" width="13.85546875" style="53" customWidth="1"/>
    <col min="5616" max="5858" width="9.140625" style="53"/>
    <col min="5859" max="5859" width="1.7109375" style="53" customWidth="1"/>
    <col min="5860" max="5861" width="4.7109375" style="53" customWidth="1"/>
    <col min="5862" max="5862" width="54.140625" style="53" customWidth="1"/>
    <col min="5863" max="5863" width="52" style="53" customWidth="1"/>
    <col min="5864" max="5864" width="5.28515625" style="53" customWidth="1"/>
    <col min="5865" max="5865" width="5.85546875" style="53" bestFit="1" customWidth="1"/>
    <col min="5866" max="5866" width="16.42578125" style="53" customWidth="1"/>
    <col min="5867" max="5867" width="4.5703125" style="53" customWidth="1"/>
    <col min="5868" max="5868" width="14.140625" style="53" customWidth="1"/>
    <col min="5869" max="5869" width="27.140625" style="53" customWidth="1"/>
    <col min="5870" max="5870" width="16.28515625" style="53" customWidth="1"/>
    <col min="5871" max="5871" width="13.85546875" style="53" customWidth="1"/>
    <col min="5872" max="6114" width="9.140625" style="53"/>
    <col min="6115" max="6115" width="1.7109375" style="53" customWidth="1"/>
    <col min="6116" max="6117" width="4.7109375" style="53" customWidth="1"/>
    <col min="6118" max="6118" width="54.140625" style="53" customWidth="1"/>
    <col min="6119" max="6119" width="52" style="53" customWidth="1"/>
    <col min="6120" max="6120" width="5.28515625" style="53" customWidth="1"/>
    <col min="6121" max="6121" width="5.85546875" style="53" bestFit="1" customWidth="1"/>
    <col min="6122" max="6122" width="16.42578125" style="53" customWidth="1"/>
    <col min="6123" max="6123" width="4.5703125" style="53" customWidth="1"/>
    <col min="6124" max="6124" width="14.140625" style="53" customWidth="1"/>
    <col min="6125" max="6125" width="27.140625" style="53" customWidth="1"/>
    <col min="6126" max="6126" width="16.28515625" style="53" customWidth="1"/>
    <col min="6127" max="6127" width="13.85546875" style="53" customWidth="1"/>
    <col min="6128" max="6370" width="9.140625" style="53"/>
    <col min="6371" max="6371" width="1.7109375" style="53" customWidth="1"/>
    <col min="6372" max="6373" width="4.7109375" style="53" customWidth="1"/>
    <col min="6374" max="6374" width="54.140625" style="53" customWidth="1"/>
    <col min="6375" max="6375" width="52" style="53" customWidth="1"/>
    <col min="6376" max="6376" width="5.28515625" style="53" customWidth="1"/>
    <col min="6377" max="6377" width="5.85546875" style="53" bestFit="1" customWidth="1"/>
    <col min="6378" max="6378" width="16.42578125" style="53" customWidth="1"/>
    <col min="6379" max="6379" width="4.5703125" style="53" customWidth="1"/>
    <col min="6380" max="6380" width="14.140625" style="53" customWidth="1"/>
    <col min="6381" max="6381" width="27.140625" style="53" customWidth="1"/>
    <col min="6382" max="6382" width="16.28515625" style="53" customWidth="1"/>
    <col min="6383" max="6383" width="13.85546875" style="53" customWidth="1"/>
    <col min="6384" max="6626" width="9.140625" style="53"/>
    <col min="6627" max="6627" width="1.7109375" style="53" customWidth="1"/>
    <col min="6628" max="6629" width="4.7109375" style="53" customWidth="1"/>
    <col min="6630" max="6630" width="54.140625" style="53" customWidth="1"/>
    <col min="6631" max="6631" width="52" style="53" customWidth="1"/>
    <col min="6632" max="6632" width="5.28515625" style="53" customWidth="1"/>
    <col min="6633" max="6633" width="5.85546875" style="53" bestFit="1" customWidth="1"/>
    <col min="6634" max="6634" width="16.42578125" style="53" customWidth="1"/>
    <col min="6635" max="6635" width="4.5703125" style="53" customWidth="1"/>
    <col min="6636" max="6636" width="14.140625" style="53" customWidth="1"/>
    <col min="6637" max="6637" width="27.140625" style="53" customWidth="1"/>
    <col min="6638" max="6638" width="16.28515625" style="53" customWidth="1"/>
    <col min="6639" max="6639" width="13.85546875" style="53" customWidth="1"/>
    <col min="6640" max="6882" width="9.140625" style="53"/>
    <col min="6883" max="6883" width="1.7109375" style="53" customWidth="1"/>
    <col min="6884" max="6885" width="4.7109375" style="53" customWidth="1"/>
    <col min="6886" max="6886" width="54.140625" style="53" customWidth="1"/>
    <col min="6887" max="6887" width="52" style="53" customWidth="1"/>
    <col min="6888" max="6888" width="5.28515625" style="53" customWidth="1"/>
    <col min="6889" max="6889" width="5.85546875" style="53" bestFit="1" customWidth="1"/>
    <col min="6890" max="6890" width="16.42578125" style="53" customWidth="1"/>
    <col min="6891" max="6891" width="4.5703125" style="53" customWidth="1"/>
    <col min="6892" max="6892" width="14.140625" style="53" customWidth="1"/>
    <col min="6893" max="6893" width="27.140625" style="53" customWidth="1"/>
    <col min="6894" max="6894" width="16.28515625" style="53" customWidth="1"/>
    <col min="6895" max="6895" width="13.85546875" style="53" customWidth="1"/>
    <col min="6896" max="7138" width="9.140625" style="53"/>
    <col min="7139" max="7139" width="1.7109375" style="53" customWidth="1"/>
    <col min="7140" max="7141" width="4.7109375" style="53" customWidth="1"/>
    <col min="7142" max="7142" width="54.140625" style="53" customWidth="1"/>
    <col min="7143" max="7143" width="52" style="53" customWidth="1"/>
    <col min="7144" max="7144" width="5.28515625" style="53" customWidth="1"/>
    <col min="7145" max="7145" width="5.85546875" style="53" bestFit="1" customWidth="1"/>
    <col min="7146" max="7146" width="16.42578125" style="53" customWidth="1"/>
    <col min="7147" max="7147" width="4.5703125" style="53" customWidth="1"/>
    <col min="7148" max="7148" width="14.140625" style="53" customWidth="1"/>
    <col min="7149" max="7149" width="27.140625" style="53" customWidth="1"/>
    <col min="7150" max="7150" width="16.28515625" style="53" customWidth="1"/>
    <col min="7151" max="7151" width="13.85546875" style="53" customWidth="1"/>
    <col min="7152" max="7394" width="9.140625" style="53"/>
    <col min="7395" max="7395" width="1.7109375" style="53" customWidth="1"/>
    <col min="7396" max="7397" width="4.7109375" style="53" customWidth="1"/>
    <col min="7398" max="7398" width="54.140625" style="53" customWidth="1"/>
    <col min="7399" max="7399" width="52" style="53" customWidth="1"/>
    <col min="7400" max="7400" width="5.28515625" style="53" customWidth="1"/>
    <col min="7401" max="7401" width="5.85546875" style="53" bestFit="1" customWidth="1"/>
    <col min="7402" max="7402" width="16.42578125" style="53" customWidth="1"/>
    <col min="7403" max="7403" width="4.5703125" style="53" customWidth="1"/>
    <col min="7404" max="7404" width="14.140625" style="53" customWidth="1"/>
    <col min="7405" max="7405" width="27.140625" style="53" customWidth="1"/>
    <col min="7406" max="7406" width="16.28515625" style="53" customWidth="1"/>
    <col min="7407" max="7407" width="13.85546875" style="53" customWidth="1"/>
    <col min="7408" max="7650" width="9.140625" style="53"/>
    <col min="7651" max="7651" width="1.7109375" style="53" customWidth="1"/>
    <col min="7652" max="7653" width="4.7109375" style="53" customWidth="1"/>
    <col min="7654" max="7654" width="54.140625" style="53" customWidth="1"/>
    <col min="7655" max="7655" width="52" style="53" customWidth="1"/>
    <col min="7656" max="7656" width="5.28515625" style="53" customWidth="1"/>
    <col min="7657" max="7657" width="5.85546875" style="53" bestFit="1" customWidth="1"/>
    <col min="7658" max="7658" width="16.42578125" style="53" customWidth="1"/>
    <col min="7659" max="7659" width="4.5703125" style="53" customWidth="1"/>
    <col min="7660" max="7660" width="14.140625" style="53" customWidth="1"/>
    <col min="7661" max="7661" width="27.140625" style="53" customWidth="1"/>
    <col min="7662" max="7662" width="16.28515625" style="53" customWidth="1"/>
    <col min="7663" max="7663" width="13.85546875" style="53" customWidth="1"/>
    <col min="7664" max="7906" width="9.140625" style="53"/>
    <col min="7907" max="7907" width="1.7109375" style="53" customWidth="1"/>
    <col min="7908" max="7909" width="4.7109375" style="53" customWidth="1"/>
    <col min="7910" max="7910" width="54.140625" style="53" customWidth="1"/>
    <col min="7911" max="7911" width="52" style="53" customWidth="1"/>
    <col min="7912" max="7912" width="5.28515625" style="53" customWidth="1"/>
    <col min="7913" max="7913" width="5.85546875" style="53" bestFit="1" customWidth="1"/>
    <col min="7914" max="7914" width="16.42578125" style="53" customWidth="1"/>
    <col min="7915" max="7915" width="4.5703125" style="53" customWidth="1"/>
    <col min="7916" max="7916" width="14.140625" style="53" customWidth="1"/>
    <col min="7917" max="7917" width="27.140625" style="53" customWidth="1"/>
    <col min="7918" max="7918" width="16.28515625" style="53" customWidth="1"/>
    <col min="7919" max="7919" width="13.85546875" style="53" customWidth="1"/>
    <col min="7920" max="8162" width="9.140625" style="53"/>
    <col min="8163" max="8163" width="1.7109375" style="53" customWidth="1"/>
    <col min="8164" max="8165" width="4.7109375" style="53" customWidth="1"/>
    <col min="8166" max="8166" width="54.140625" style="53" customWidth="1"/>
    <col min="8167" max="8167" width="52" style="53" customWidth="1"/>
    <col min="8168" max="8168" width="5.28515625" style="53" customWidth="1"/>
    <col min="8169" max="8169" width="5.85546875" style="53" bestFit="1" customWidth="1"/>
    <col min="8170" max="8170" width="16.42578125" style="53" customWidth="1"/>
    <col min="8171" max="8171" width="4.5703125" style="53" customWidth="1"/>
    <col min="8172" max="8172" width="14.140625" style="53" customWidth="1"/>
    <col min="8173" max="8173" width="27.140625" style="53" customWidth="1"/>
    <col min="8174" max="8174" width="16.28515625" style="53" customWidth="1"/>
    <col min="8175" max="8175" width="13.85546875" style="53" customWidth="1"/>
    <col min="8176" max="8418" width="9.140625" style="53"/>
    <col min="8419" max="8419" width="1.7109375" style="53" customWidth="1"/>
    <col min="8420" max="8421" width="4.7109375" style="53" customWidth="1"/>
    <col min="8422" max="8422" width="54.140625" style="53" customWidth="1"/>
    <col min="8423" max="8423" width="52" style="53" customWidth="1"/>
    <col min="8424" max="8424" width="5.28515625" style="53" customWidth="1"/>
    <col min="8425" max="8425" width="5.85546875" style="53" bestFit="1" customWidth="1"/>
    <col min="8426" max="8426" width="16.42578125" style="53" customWidth="1"/>
    <col min="8427" max="8427" width="4.5703125" style="53" customWidth="1"/>
    <col min="8428" max="8428" width="14.140625" style="53" customWidth="1"/>
    <col min="8429" max="8429" width="27.140625" style="53" customWidth="1"/>
    <col min="8430" max="8430" width="16.28515625" style="53" customWidth="1"/>
    <col min="8431" max="8431" width="13.85546875" style="53" customWidth="1"/>
    <col min="8432" max="8674" width="9.140625" style="53"/>
    <col min="8675" max="8675" width="1.7109375" style="53" customWidth="1"/>
    <col min="8676" max="8677" width="4.7109375" style="53" customWidth="1"/>
    <col min="8678" max="8678" width="54.140625" style="53" customWidth="1"/>
    <col min="8679" max="8679" width="52" style="53" customWidth="1"/>
    <col min="8680" max="8680" width="5.28515625" style="53" customWidth="1"/>
    <col min="8681" max="8681" width="5.85546875" style="53" bestFit="1" customWidth="1"/>
    <col min="8682" max="8682" width="16.42578125" style="53" customWidth="1"/>
    <col min="8683" max="8683" width="4.5703125" style="53" customWidth="1"/>
    <col min="8684" max="8684" width="14.140625" style="53" customWidth="1"/>
    <col min="8685" max="8685" width="27.140625" style="53" customWidth="1"/>
    <col min="8686" max="8686" width="16.28515625" style="53" customWidth="1"/>
    <col min="8687" max="8687" width="13.85546875" style="53" customWidth="1"/>
    <col min="8688" max="8930" width="9.140625" style="53"/>
    <col min="8931" max="8931" width="1.7109375" style="53" customWidth="1"/>
    <col min="8932" max="8933" width="4.7109375" style="53" customWidth="1"/>
    <col min="8934" max="8934" width="54.140625" style="53" customWidth="1"/>
    <col min="8935" max="8935" width="52" style="53" customWidth="1"/>
    <col min="8936" max="8936" width="5.28515625" style="53" customWidth="1"/>
    <col min="8937" max="8937" width="5.85546875" style="53" bestFit="1" customWidth="1"/>
    <col min="8938" max="8938" width="16.42578125" style="53" customWidth="1"/>
    <col min="8939" max="8939" width="4.5703125" style="53" customWidth="1"/>
    <col min="8940" max="8940" width="14.140625" style="53" customWidth="1"/>
    <col min="8941" max="8941" width="27.140625" style="53" customWidth="1"/>
    <col min="8942" max="8942" width="16.28515625" style="53" customWidth="1"/>
    <col min="8943" max="8943" width="13.85546875" style="53" customWidth="1"/>
    <col min="8944" max="9186" width="9.140625" style="53"/>
    <col min="9187" max="9187" width="1.7109375" style="53" customWidth="1"/>
    <col min="9188" max="9189" width="4.7109375" style="53" customWidth="1"/>
    <col min="9190" max="9190" width="54.140625" style="53" customWidth="1"/>
    <col min="9191" max="9191" width="52" style="53" customWidth="1"/>
    <col min="9192" max="9192" width="5.28515625" style="53" customWidth="1"/>
    <col min="9193" max="9193" width="5.85546875" style="53" bestFit="1" customWidth="1"/>
    <col min="9194" max="9194" width="16.42578125" style="53" customWidth="1"/>
    <col min="9195" max="9195" width="4.5703125" style="53" customWidth="1"/>
    <col min="9196" max="9196" width="14.140625" style="53" customWidth="1"/>
    <col min="9197" max="9197" width="27.140625" style="53" customWidth="1"/>
    <col min="9198" max="9198" width="16.28515625" style="53" customWidth="1"/>
    <col min="9199" max="9199" width="13.85546875" style="53" customWidth="1"/>
    <col min="9200" max="9442" width="9.140625" style="53"/>
    <col min="9443" max="9443" width="1.7109375" style="53" customWidth="1"/>
    <col min="9444" max="9445" width="4.7109375" style="53" customWidth="1"/>
    <col min="9446" max="9446" width="54.140625" style="53" customWidth="1"/>
    <col min="9447" max="9447" width="52" style="53" customWidth="1"/>
    <col min="9448" max="9448" width="5.28515625" style="53" customWidth="1"/>
    <col min="9449" max="9449" width="5.85546875" style="53" bestFit="1" customWidth="1"/>
    <col min="9450" max="9450" width="16.42578125" style="53" customWidth="1"/>
    <col min="9451" max="9451" width="4.5703125" style="53" customWidth="1"/>
    <col min="9452" max="9452" width="14.140625" style="53" customWidth="1"/>
    <col min="9453" max="9453" width="27.140625" style="53" customWidth="1"/>
    <col min="9454" max="9454" width="16.28515625" style="53" customWidth="1"/>
    <col min="9455" max="9455" width="13.85546875" style="53" customWidth="1"/>
    <col min="9456" max="9698" width="9.140625" style="53"/>
    <col min="9699" max="9699" width="1.7109375" style="53" customWidth="1"/>
    <col min="9700" max="9701" width="4.7109375" style="53" customWidth="1"/>
    <col min="9702" max="9702" width="54.140625" style="53" customWidth="1"/>
    <col min="9703" max="9703" width="52" style="53" customWidth="1"/>
    <col min="9704" max="9704" width="5.28515625" style="53" customWidth="1"/>
    <col min="9705" max="9705" width="5.85546875" style="53" bestFit="1" customWidth="1"/>
    <col min="9706" max="9706" width="16.42578125" style="53" customWidth="1"/>
    <col min="9707" max="9707" width="4.5703125" style="53" customWidth="1"/>
    <col min="9708" max="9708" width="14.140625" style="53" customWidth="1"/>
    <col min="9709" max="9709" width="27.140625" style="53" customWidth="1"/>
    <col min="9710" max="9710" width="16.28515625" style="53" customWidth="1"/>
    <col min="9711" max="9711" width="13.85546875" style="53" customWidth="1"/>
    <col min="9712" max="9954" width="9.140625" style="53"/>
    <col min="9955" max="9955" width="1.7109375" style="53" customWidth="1"/>
    <col min="9956" max="9957" width="4.7109375" style="53" customWidth="1"/>
    <col min="9958" max="9958" width="54.140625" style="53" customWidth="1"/>
    <col min="9959" max="9959" width="52" style="53" customWidth="1"/>
    <col min="9960" max="9960" width="5.28515625" style="53" customWidth="1"/>
    <col min="9961" max="9961" width="5.85546875" style="53" bestFit="1" customWidth="1"/>
    <col min="9962" max="9962" width="16.42578125" style="53" customWidth="1"/>
    <col min="9963" max="9963" width="4.5703125" style="53" customWidth="1"/>
    <col min="9964" max="9964" width="14.140625" style="53" customWidth="1"/>
    <col min="9965" max="9965" width="27.140625" style="53" customWidth="1"/>
    <col min="9966" max="9966" width="16.28515625" style="53" customWidth="1"/>
    <col min="9967" max="9967" width="13.85546875" style="53" customWidth="1"/>
    <col min="9968" max="10210" width="9.140625" style="53"/>
    <col min="10211" max="10211" width="1.7109375" style="53" customWidth="1"/>
    <col min="10212" max="10213" width="4.7109375" style="53" customWidth="1"/>
    <col min="10214" max="10214" width="54.140625" style="53" customWidth="1"/>
    <col min="10215" max="10215" width="52" style="53" customWidth="1"/>
    <col min="10216" max="10216" width="5.28515625" style="53" customWidth="1"/>
    <col min="10217" max="10217" width="5.85546875" style="53" bestFit="1" customWidth="1"/>
    <col min="10218" max="10218" width="16.42578125" style="53" customWidth="1"/>
    <col min="10219" max="10219" width="4.5703125" style="53" customWidth="1"/>
    <col min="10220" max="10220" width="14.140625" style="53" customWidth="1"/>
    <col min="10221" max="10221" width="27.140625" style="53" customWidth="1"/>
    <col min="10222" max="10222" width="16.28515625" style="53" customWidth="1"/>
    <col min="10223" max="10223" width="13.85546875" style="53" customWidth="1"/>
    <col min="10224" max="10466" width="9.140625" style="53"/>
    <col min="10467" max="10467" width="1.7109375" style="53" customWidth="1"/>
    <col min="10468" max="10469" width="4.7109375" style="53" customWidth="1"/>
    <col min="10470" max="10470" width="54.140625" style="53" customWidth="1"/>
    <col min="10471" max="10471" width="52" style="53" customWidth="1"/>
    <col min="10472" max="10472" width="5.28515625" style="53" customWidth="1"/>
    <col min="10473" max="10473" width="5.85546875" style="53" bestFit="1" customWidth="1"/>
    <col min="10474" max="10474" width="16.42578125" style="53" customWidth="1"/>
    <col min="10475" max="10475" width="4.5703125" style="53" customWidth="1"/>
    <col min="10476" max="10476" width="14.140625" style="53" customWidth="1"/>
    <col min="10477" max="10477" width="27.140625" style="53" customWidth="1"/>
    <col min="10478" max="10478" width="16.28515625" style="53" customWidth="1"/>
    <col min="10479" max="10479" width="13.85546875" style="53" customWidth="1"/>
    <col min="10480" max="10722" width="9.140625" style="53"/>
    <col min="10723" max="10723" width="1.7109375" style="53" customWidth="1"/>
    <col min="10724" max="10725" width="4.7109375" style="53" customWidth="1"/>
    <col min="10726" max="10726" width="54.140625" style="53" customWidth="1"/>
    <col min="10727" max="10727" width="52" style="53" customWidth="1"/>
    <col min="10728" max="10728" width="5.28515625" style="53" customWidth="1"/>
    <col min="10729" max="10729" width="5.85546875" style="53" bestFit="1" customWidth="1"/>
    <col min="10730" max="10730" width="16.42578125" style="53" customWidth="1"/>
    <col min="10731" max="10731" width="4.5703125" style="53" customWidth="1"/>
    <col min="10732" max="10732" width="14.140625" style="53" customWidth="1"/>
    <col min="10733" max="10733" width="27.140625" style="53" customWidth="1"/>
    <col min="10734" max="10734" width="16.28515625" style="53" customWidth="1"/>
    <col min="10735" max="10735" width="13.85546875" style="53" customWidth="1"/>
    <col min="10736" max="10978" width="9.140625" style="53"/>
    <col min="10979" max="10979" width="1.7109375" style="53" customWidth="1"/>
    <col min="10980" max="10981" width="4.7109375" style="53" customWidth="1"/>
    <col min="10982" max="10982" width="54.140625" style="53" customWidth="1"/>
    <col min="10983" max="10983" width="52" style="53" customWidth="1"/>
    <col min="10984" max="10984" width="5.28515625" style="53" customWidth="1"/>
    <col min="10985" max="10985" width="5.85546875" style="53" bestFit="1" customWidth="1"/>
    <col min="10986" max="10986" width="16.42578125" style="53" customWidth="1"/>
    <col min="10987" max="10987" width="4.5703125" style="53" customWidth="1"/>
    <col min="10988" max="10988" width="14.140625" style="53" customWidth="1"/>
    <col min="10989" max="10989" width="27.140625" style="53" customWidth="1"/>
    <col min="10990" max="10990" width="16.28515625" style="53" customWidth="1"/>
    <col min="10991" max="10991" width="13.85546875" style="53" customWidth="1"/>
    <col min="10992" max="11234" width="9.140625" style="53"/>
    <col min="11235" max="11235" width="1.7109375" style="53" customWidth="1"/>
    <col min="11236" max="11237" width="4.7109375" style="53" customWidth="1"/>
    <col min="11238" max="11238" width="54.140625" style="53" customWidth="1"/>
    <col min="11239" max="11239" width="52" style="53" customWidth="1"/>
    <col min="11240" max="11240" width="5.28515625" style="53" customWidth="1"/>
    <col min="11241" max="11241" width="5.85546875" style="53" bestFit="1" customWidth="1"/>
    <col min="11242" max="11242" width="16.42578125" style="53" customWidth="1"/>
    <col min="11243" max="11243" width="4.5703125" style="53" customWidth="1"/>
    <col min="11244" max="11244" width="14.140625" style="53" customWidth="1"/>
    <col min="11245" max="11245" width="27.140625" style="53" customWidth="1"/>
    <col min="11246" max="11246" width="16.28515625" style="53" customWidth="1"/>
    <col min="11247" max="11247" width="13.85546875" style="53" customWidth="1"/>
    <col min="11248" max="11490" width="9.140625" style="53"/>
    <col min="11491" max="11491" width="1.7109375" style="53" customWidth="1"/>
    <col min="11492" max="11493" width="4.7109375" style="53" customWidth="1"/>
    <col min="11494" max="11494" width="54.140625" style="53" customWidth="1"/>
    <col min="11495" max="11495" width="52" style="53" customWidth="1"/>
    <col min="11496" max="11496" width="5.28515625" style="53" customWidth="1"/>
    <col min="11497" max="11497" width="5.85546875" style="53" bestFit="1" customWidth="1"/>
    <col min="11498" max="11498" width="16.42578125" style="53" customWidth="1"/>
    <col min="11499" max="11499" width="4.5703125" style="53" customWidth="1"/>
    <col min="11500" max="11500" width="14.140625" style="53" customWidth="1"/>
    <col min="11501" max="11501" width="27.140625" style="53" customWidth="1"/>
    <col min="11502" max="11502" width="16.28515625" style="53" customWidth="1"/>
    <col min="11503" max="11503" width="13.85546875" style="53" customWidth="1"/>
    <col min="11504" max="11746" width="9.140625" style="53"/>
    <col min="11747" max="11747" width="1.7109375" style="53" customWidth="1"/>
    <col min="11748" max="11749" width="4.7109375" style="53" customWidth="1"/>
    <col min="11750" max="11750" width="54.140625" style="53" customWidth="1"/>
    <col min="11751" max="11751" width="52" style="53" customWidth="1"/>
    <col min="11752" max="11752" width="5.28515625" style="53" customWidth="1"/>
    <col min="11753" max="11753" width="5.85546875" style="53" bestFit="1" customWidth="1"/>
    <col min="11754" max="11754" width="16.42578125" style="53" customWidth="1"/>
    <col min="11755" max="11755" width="4.5703125" style="53" customWidth="1"/>
    <col min="11756" max="11756" width="14.140625" style="53" customWidth="1"/>
    <col min="11757" max="11757" width="27.140625" style="53" customWidth="1"/>
    <col min="11758" max="11758" width="16.28515625" style="53" customWidth="1"/>
    <col min="11759" max="11759" width="13.85546875" style="53" customWidth="1"/>
    <col min="11760" max="12002" width="9.140625" style="53"/>
    <col min="12003" max="12003" width="1.7109375" style="53" customWidth="1"/>
    <col min="12004" max="12005" width="4.7109375" style="53" customWidth="1"/>
    <col min="12006" max="12006" width="54.140625" style="53" customWidth="1"/>
    <col min="12007" max="12007" width="52" style="53" customWidth="1"/>
    <col min="12008" max="12008" width="5.28515625" style="53" customWidth="1"/>
    <col min="12009" max="12009" width="5.85546875" style="53" bestFit="1" customWidth="1"/>
    <col min="12010" max="12010" width="16.42578125" style="53" customWidth="1"/>
    <col min="12011" max="12011" width="4.5703125" style="53" customWidth="1"/>
    <col min="12012" max="12012" width="14.140625" style="53" customWidth="1"/>
    <col min="12013" max="12013" width="27.140625" style="53" customWidth="1"/>
    <col min="12014" max="12014" width="16.28515625" style="53" customWidth="1"/>
    <col min="12015" max="12015" width="13.85546875" style="53" customWidth="1"/>
    <col min="12016" max="12258" width="9.140625" style="53"/>
    <col min="12259" max="12259" width="1.7109375" style="53" customWidth="1"/>
    <col min="12260" max="12261" width="4.7109375" style="53" customWidth="1"/>
    <col min="12262" max="12262" width="54.140625" style="53" customWidth="1"/>
    <col min="12263" max="12263" width="52" style="53" customWidth="1"/>
    <col min="12264" max="12264" width="5.28515625" style="53" customWidth="1"/>
    <col min="12265" max="12265" width="5.85546875" style="53" bestFit="1" customWidth="1"/>
    <col min="12266" max="12266" width="16.42578125" style="53" customWidth="1"/>
    <col min="12267" max="12267" width="4.5703125" style="53" customWidth="1"/>
    <col min="12268" max="12268" width="14.140625" style="53" customWidth="1"/>
    <col min="12269" max="12269" width="27.140625" style="53" customWidth="1"/>
    <col min="12270" max="12270" width="16.28515625" style="53" customWidth="1"/>
    <col min="12271" max="12271" width="13.85546875" style="53" customWidth="1"/>
    <col min="12272" max="12514" width="9.140625" style="53"/>
    <col min="12515" max="12515" width="1.7109375" style="53" customWidth="1"/>
    <col min="12516" max="12517" width="4.7109375" style="53" customWidth="1"/>
    <col min="12518" max="12518" width="54.140625" style="53" customWidth="1"/>
    <col min="12519" max="12519" width="52" style="53" customWidth="1"/>
    <col min="12520" max="12520" width="5.28515625" style="53" customWidth="1"/>
    <col min="12521" max="12521" width="5.85546875" style="53" bestFit="1" customWidth="1"/>
    <col min="12522" max="12522" width="16.42578125" style="53" customWidth="1"/>
    <col min="12523" max="12523" width="4.5703125" style="53" customWidth="1"/>
    <col min="12524" max="12524" width="14.140625" style="53" customWidth="1"/>
    <col min="12525" max="12525" width="27.140625" style="53" customWidth="1"/>
    <col min="12526" max="12526" width="16.28515625" style="53" customWidth="1"/>
    <col min="12527" max="12527" width="13.85546875" style="53" customWidth="1"/>
    <col min="12528" max="12770" width="9.140625" style="53"/>
    <col min="12771" max="12771" width="1.7109375" style="53" customWidth="1"/>
    <col min="12772" max="12773" width="4.7109375" style="53" customWidth="1"/>
    <col min="12774" max="12774" width="54.140625" style="53" customWidth="1"/>
    <col min="12775" max="12775" width="52" style="53" customWidth="1"/>
    <col min="12776" max="12776" width="5.28515625" style="53" customWidth="1"/>
    <col min="12777" max="12777" width="5.85546875" style="53" bestFit="1" customWidth="1"/>
    <col min="12778" max="12778" width="16.42578125" style="53" customWidth="1"/>
    <col min="12779" max="12779" width="4.5703125" style="53" customWidth="1"/>
    <col min="12780" max="12780" width="14.140625" style="53" customWidth="1"/>
    <col min="12781" max="12781" width="27.140625" style="53" customWidth="1"/>
    <col min="12782" max="12782" width="16.28515625" style="53" customWidth="1"/>
    <col min="12783" max="12783" width="13.85546875" style="53" customWidth="1"/>
    <col min="12784" max="13026" width="9.140625" style="53"/>
    <col min="13027" max="13027" width="1.7109375" style="53" customWidth="1"/>
    <col min="13028" max="13029" width="4.7109375" style="53" customWidth="1"/>
    <col min="13030" max="13030" width="54.140625" style="53" customWidth="1"/>
    <col min="13031" max="13031" width="52" style="53" customWidth="1"/>
    <col min="13032" max="13032" width="5.28515625" style="53" customWidth="1"/>
    <col min="13033" max="13033" width="5.85546875" style="53" bestFit="1" customWidth="1"/>
    <col min="13034" max="13034" width="16.42578125" style="53" customWidth="1"/>
    <col min="13035" max="13035" width="4.5703125" style="53" customWidth="1"/>
    <col min="13036" max="13036" width="14.140625" style="53" customWidth="1"/>
    <col min="13037" max="13037" width="27.140625" style="53" customWidth="1"/>
    <col min="13038" max="13038" width="16.28515625" style="53" customWidth="1"/>
    <col min="13039" max="13039" width="13.85546875" style="53" customWidth="1"/>
    <col min="13040" max="13282" width="9.140625" style="53"/>
    <col min="13283" max="13283" width="1.7109375" style="53" customWidth="1"/>
    <col min="13284" max="13285" width="4.7109375" style="53" customWidth="1"/>
    <col min="13286" max="13286" width="54.140625" style="53" customWidth="1"/>
    <col min="13287" max="13287" width="52" style="53" customWidth="1"/>
    <col min="13288" max="13288" width="5.28515625" style="53" customWidth="1"/>
    <col min="13289" max="13289" width="5.85546875" style="53" bestFit="1" customWidth="1"/>
    <col min="13290" max="13290" width="16.42578125" style="53" customWidth="1"/>
    <col min="13291" max="13291" width="4.5703125" style="53" customWidth="1"/>
    <col min="13292" max="13292" width="14.140625" style="53" customWidth="1"/>
    <col min="13293" max="13293" width="27.140625" style="53" customWidth="1"/>
    <col min="13294" max="13294" width="16.28515625" style="53" customWidth="1"/>
    <col min="13295" max="13295" width="13.85546875" style="53" customWidth="1"/>
    <col min="13296" max="13538" width="9.140625" style="53"/>
    <col min="13539" max="13539" width="1.7109375" style="53" customWidth="1"/>
    <col min="13540" max="13541" width="4.7109375" style="53" customWidth="1"/>
    <col min="13542" max="13542" width="54.140625" style="53" customWidth="1"/>
    <col min="13543" max="13543" width="52" style="53" customWidth="1"/>
    <col min="13544" max="13544" width="5.28515625" style="53" customWidth="1"/>
    <col min="13545" max="13545" width="5.85546875" style="53" bestFit="1" customWidth="1"/>
    <col min="13546" max="13546" width="16.42578125" style="53" customWidth="1"/>
    <col min="13547" max="13547" width="4.5703125" style="53" customWidth="1"/>
    <col min="13548" max="13548" width="14.140625" style="53" customWidth="1"/>
    <col min="13549" max="13549" width="27.140625" style="53" customWidth="1"/>
    <col min="13550" max="13550" width="16.28515625" style="53" customWidth="1"/>
    <col min="13551" max="13551" width="13.85546875" style="53" customWidth="1"/>
    <col min="13552" max="13794" width="9.140625" style="53"/>
    <col min="13795" max="13795" width="1.7109375" style="53" customWidth="1"/>
    <col min="13796" max="13797" width="4.7109375" style="53" customWidth="1"/>
    <col min="13798" max="13798" width="54.140625" style="53" customWidth="1"/>
    <col min="13799" max="13799" width="52" style="53" customWidth="1"/>
    <col min="13800" max="13800" width="5.28515625" style="53" customWidth="1"/>
    <col min="13801" max="13801" width="5.85546875" style="53" bestFit="1" customWidth="1"/>
    <col min="13802" max="13802" width="16.42578125" style="53" customWidth="1"/>
    <col min="13803" max="13803" width="4.5703125" style="53" customWidth="1"/>
    <col min="13804" max="13804" width="14.140625" style="53" customWidth="1"/>
    <col min="13805" max="13805" width="27.140625" style="53" customWidth="1"/>
    <col min="13806" max="13806" width="16.28515625" style="53" customWidth="1"/>
    <col min="13807" max="13807" width="13.85546875" style="53" customWidth="1"/>
    <col min="13808" max="14050" width="9.140625" style="53"/>
    <col min="14051" max="14051" width="1.7109375" style="53" customWidth="1"/>
    <col min="14052" max="14053" width="4.7109375" style="53" customWidth="1"/>
    <col min="14054" max="14054" width="54.140625" style="53" customWidth="1"/>
    <col min="14055" max="14055" width="52" style="53" customWidth="1"/>
    <col min="14056" max="14056" width="5.28515625" style="53" customWidth="1"/>
    <col min="14057" max="14057" width="5.85546875" style="53" bestFit="1" customWidth="1"/>
    <col min="14058" max="14058" width="16.42578125" style="53" customWidth="1"/>
    <col min="14059" max="14059" width="4.5703125" style="53" customWidth="1"/>
    <col min="14060" max="14060" width="14.140625" style="53" customWidth="1"/>
    <col min="14061" max="14061" width="27.140625" style="53" customWidth="1"/>
    <col min="14062" max="14062" width="16.28515625" style="53" customWidth="1"/>
    <col min="14063" max="14063" width="13.85546875" style="53" customWidth="1"/>
    <col min="14064" max="14306" width="9.140625" style="53"/>
    <col min="14307" max="14307" width="1.7109375" style="53" customWidth="1"/>
    <col min="14308" max="14309" width="4.7109375" style="53" customWidth="1"/>
    <col min="14310" max="14310" width="54.140625" style="53" customWidth="1"/>
    <col min="14311" max="14311" width="52" style="53" customWidth="1"/>
    <col min="14312" max="14312" width="5.28515625" style="53" customWidth="1"/>
    <col min="14313" max="14313" width="5.85546875" style="53" bestFit="1" customWidth="1"/>
    <col min="14314" max="14314" width="16.42578125" style="53" customWidth="1"/>
    <col min="14315" max="14315" width="4.5703125" style="53" customWidth="1"/>
    <col min="14316" max="14316" width="14.140625" style="53" customWidth="1"/>
    <col min="14317" max="14317" width="27.140625" style="53" customWidth="1"/>
    <col min="14318" max="14318" width="16.28515625" style="53" customWidth="1"/>
    <col min="14319" max="14319" width="13.85546875" style="53" customWidth="1"/>
    <col min="14320" max="14562" width="9.140625" style="53"/>
    <col min="14563" max="14563" width="1.7109375" style="53" customWidth="1"/>
    <col min="14564" max="14565" width="4.7109375" style="53" customWidth="1"/>
    <col min="14566" max="14566" width="54.140625" style="53" customWidth="1"/>
    <col min="14567" max="14567" width="52" style="53" customWidth="1"/>
    <col min="14568" max="14568" width="5.28515625" style="53" customWidth="1"/>
    <col min="14569" max="14569" width="5.85546875" style="53" bestFit="1" customWidth="1"/>
    <col min="14570" max="14570" width="16.42578125" style="53" customWidth="1"/>
    <col min="14571" max="14571" width="4.5703125" style="53" customWidth="1"/>
    <col min="14572" max="14572" width="14.140625" style="53" customWidth="1"/>
    <col min="14573" max="14573" width="27.140625" style="53" customWidth="1"/>
    <col min="14574" max="14574" width="16.28515625" style="53" customWidth="1"/>
    <col min="14575" max="14575" width="13.85546875" style="53" customWidth="1"/>
    <col min="14576" max="14818" width="9.140625" style="53"/>
    <col min="14819" max="14819" width="1.7109375" style="53" customWidth="1"/>
    <col min="14820" max="14821" width="4.7109375" style="53" customWidth="1"/>
    <col min="14822" max="14822" width="54.140625" style="53" customWidth="1"/>
    <col min="14823" max="14823" width="52" style="53" customWidth="1"/>
    <col min="14824" max="14824" width="5.28515625" style="53" customWidth="1"/>
    <col min="14825" max="14825" width="5.85546875" style="53" bestFit="1" customWidth="1"/>
    <col min="14826" max="14826" width="16.42578125" style="53" customWidth="1"/>
    <col min="14827" max="14827" width="4.5703125" style="53" customWidth="1"/>
    <col min="14828" max="14828" width="14.140625" style="53" customWidth="1"/>
    <col min="14829" max="14829" width="27.140625" style="53" customWidth="1"/>
    <col min="14830" max="14830" width="16.28515625" style="53" customWidth="1"/>
    <col min="14831" max="14831" width="13.85546875" style="53" customWidth="1"/>
    <col min="14832" max="15074" width="9.140625" style="53"/>
    <col min="15075" max="15075" width="1.7109375" style="53" customWidth="1"/>
    <col min="15076" max="15077" width="4.7109375" style="53" customWidth="1"/>
    <col min="15078" max="15078" width="54.140625" style="53" customWidth="1"/>
    <col min="15079" max="15079" width="52" style="53" customWidth="1"/>
    <col min="15080" max="15080" width="5.28515625" style="53" customWidth="1"/>
    <col min="15081" max="15081" width="5.85546875" style="53" bestFit="1" customWidth="1"/>
    <col min="15082" max="15082" width="16.42578125" style="53" customWidth="1"/>
    <col min="15083" max="15083" width="4.5703125" style="53" customWidth="1"/>
    <col min="15084" max="15084" width="14.140625" style="53" customWidth="1"/>
    <col min="15085" max="15085" width="27.140625" style="53" customWidth="1"/>
    <col min="15086" max="15086" width="16.28515625" style="53" customWidth="1"/>
    <col min="15087" max="15087" width="13.85546875" style="53" customWidth="1"/>
    <col min="15088" max="15330" width="9.140625" style="53"/>
    <col min="15331" max="15331" width="1.7109375" style="53" customWidth="1"/>
    <col min="15332" max="15333" width="4.7109375" style="53" customWidth="1"/>
    <col min="15334" max="15334" width="54.140625" style="53" customWidth="1"/>
    <col min="15335" max="15335" width="52" style="53" customWidth="1"/>
    <col min="15336" max="15336" width="5.28515625" style="53" customWidth="1"/>
    <col min="15337" max="15337" width="5.85546875" style="53" bestFit="1" customWidth="1"/>
    <col min="15338" max="15338" width="16.42578125" style="53" customWidth="1"/>
    <col min="15339" max="15339" width="4.5703125" style="53" customWidth="1"/>
    <col min="15340" max="15340" width="14.140625" style="53" customWidth="1"/>
    <col min="15341" max="15341" width="27.140625" style="53" customWidth="1"/>
    <col min="15342" max="15342" width="16.28515625" style="53" customWidth="1"/>
    <col min="15343" max="15343" width="13.85546875" style="53" customWidth="1"/>
    <col min="15344" max="15586" width="9.140625" style="53"/>
    <col min="15587" max="15587" width="1.7109375" style="53" customWidth="1"/>
    <col min="15588" max="15589" width="4.7109375" style="53" customWidth="1"/>
    <col min="15590" max="15590" width="54.140625" style="53" customWidth="1"/>
    <col min="15591" max="15591" width="52" style="53" customWidth="1"/>
    <col min="15592" max="15592" width="5.28515625" style="53" customWidth="1"/>
    <col min="15593" max="15593" width="5.85546875" style="53" bestFit="1" customWidth="1"/>
    <col min="15594" max="15594" width="16.42578125" style="53" customWidth="1"/>
    <col min="15595" max="15595" width="4.5703125" style="53" customWidth="1"/>
    <col min="15596" max="15596" width="14.140625" style="53" customWidth="1"/>
    <col min="15597" max="15597" width="27.140625" style="53" customWidth="1"/>
    <col min="15598" max="15598" width="16.28515625" style="53" customWidth="1"/>
    <col min="15599" max="15599" width="13.85546875" style="53" customWidth="1"/>
    <col min="15600" max="15842" width="9.140625" style="53"/>
    <col min="15843" max="15843" width="1.7109375" style="53" customWidth="1"/>
    <col min="15844" max="15845" width="4.7109375" style="53" customWidth="1"/>
    <col min="15846" max="15846" width="54.140625" style="53" customWidth="1"/>
    <col min="15847" max="15847" width="52" style="53" customWidth="1"/>
    <col min="15848" max="15848" width="5.28515625" style="53" customWidth="1"/>
    <col min="15849" max="15849" width="5.85546875" style="53" bestFit="1" customWidth="1"/>
    <col min="15850" max="15850" width="16.42578125" style="53" customWidth="1"/>
    <col min="15851" max="15851" width="4.5703125" style="53" customWidth="1"/>
    <col min="15852" max="15852" width="14.140625" style="53" customWidth="1"/>
    <col min="15853" max="15853" width="27.140625" style="53" customWidth="1"/>
    <col min="15854" max="15854" width="16.28515625" style="53" customWidth="1"/>
    <col min="15855" max="15855" width="13.85546875" style="53" customWidth="1"/>
    <col min="15856" max="16098" width="9.140625" style="53"/>
    <col min="16099" max="16099" width="1.7109375" style="53" customWidth="1"/>
    <col min="16100" max="16101" width="4.7109375" style="53" customWidth="1"/>
    <col min="16102" max="16102" width="54.140625" style="53" customWidth="1"/>
    <col min="16103" max="16103" width="52" style="53" customWidth="1"/>
    <col min="16104" max="16104" width="5.28515625" style="53" customWidth="1"/>
    <col min="16105" max="16105" width="5.85546875" style="53" bestFit="1" customWidth="1"/>
    <col min="16106" max="16106" width="16.42578125" style="53" customWidth="1"/>
    <col min="16107" max="16107" width="4.5703125" style="53" customWidth="1"/>
    <col min="16108" max="16108" width="14.140625" style="53" customWidth="1"/>
    <col min="16109" max="16109" width="27.140625" style="53" customWidth="1"/>
    <col min="16110" max="16110" width="16.28515625" style="53" customWidth="1"/>
    <col min="16111" max="16111" width="13.85546875" style="53" customWidth="1"/>
    <col min="16112" max="16384" width="9.140625" style="53"/>
  </cols>
  <sheetData>
    <row r="1" spans="2:13" ht="15" customHeight="1" x14ac:dyDescent="0.25"/>
    <row r="2" spans="2:13" s="5" customFormat="1" ht="15.75" hidden="1" x14ac:dyDescent="0.25">
      <c r="B2" s="1128"/>
      <c r="C2" s="1645" t="s">
        <v>431</v>
      </c>
      <c r="D2" s="1645"/>
      <c r="E2" s="1645"/>
      <c r="F2" s="1645"/>
      <c r="G2" s="1645"/>
      <c r="H2" s="1645"/>
      <c r="I2" s="1645"/>
      <c r="J2" s="1125"/>
      <c r="K2" s="451"/>
    </row>
    <row r="3" spans="2:13" s="5" customFormat="1" ht="13.5" customHeight="1" x14ac:dyDescent="0.25">
      <c r="B3" s="1128"/>
      <c r="C3" s="1646" t="s">
        <v>532</v>
      </c>
      <c r="D3" s="1646"/>
      <c r="E3" s="1646"/>
      <c r="F3" s="1646"/>
      <c r="G3" s="1646"/>
      <c r="H3" s="1646"/>
      <c r="I3" s="1646"/>
      <c r="J3" s="1646"/>
      <c r="K3" s="1646"/>
    </row>
    <row r="4" spans="2:13" s="4" customFormat="1" ht="14.25" customHeight="1" x14ac:dyDescent="0.25">
      <c r="B4" s="1128"/>
      <c r="C4" s="1646" t="s">
        <v>1</v>
      </c>
      <c r="D4" s="1646"/>
      <c r="E4" s="1646"/>
      <c r="F4" s="1646"/>
      <c r="G4" s="1646"/>
      <c r="H4" s="1646"/>
      <c r="I4" s="1646"/>
      <c r="J4" s="1646"/>
      <c r="K4" s="1646"/>
    </row>
    <row r="5" spans="2:13" s="4" customFormat="1" ht="15.75" x14ac:dyDescent="0.25">
      <c r="B5" s="1128"/>
      <c r="C5" s="452"/>
      <c r="D5" s="453"/>
      <c r="E5" s="454"/>
      <c r="F5" s="455"/>
      <c r="G5" s="457"/>
      <c r="H5" s="457"/>
      <c r="I5" s="457"/>
      <c r="J5" s="457"/>
      <c r="K5" s="458"/>
    </row>
    <row r="6" spans="2:13" s="4" customFormat="1" ht="18" customHeight="1" x14ac:dyDescent="0.25">
      <c r="B6" s="1128"/>
      <c r="C6" s="1127" t="s">
        <v>2</v>
      </c>
      <c r="D6" s="1505" t="s">
        <v>526</v>
      </c>
      <c r="E6" s="1505"/>
      <c r="F6" s="459"/>
      <c r="G6" s="457"/>
      <c r="H6" s="457"/>
      <c r="I6" s="457"/>
      <c r="J6" s="457"/>
      <c r="K6" s="458"/>
    </row>
    <row r="7" spans="2:13" s="4" customFormat="1" ht="3" customHeight="1" thickBot="1" x14ac:dyDescent="0.3">
      <c r="B7" s="1742"/>
      <c r="C7" s="6"/>
      <c r="D7" s="8"/>
      <c r="E7" s="9"/>
      <c r="F7" s="10"/>
      <c r="G7" s="12"/>
      <c r="H7" s="12"/>
      <c r="I7" s="12"/>
      <c r="J7" s="12"/>
      <c r="K7" s="1756"/>
    </row>
    <row r="8" spans="2:13" s="15" customFormat="1" ht="32.25" customHeight="1" thickTop="1" x14ac:dyDescent="0.25">
      <c r="B8" s="1742"/>
      <c r="C8" s="1746" t="s">
        <v>496</v>
      </c>
      <c r="D8" s="1748" t="s">
        <v>418</v>
      </c>
      <c r="E8" s="1749"/>
      <c r="F8" s="1752" t="s">
        <v>417</v>
      </c>
      <c r="G8" s="1740" t="s">
        <v>530</v>
      </c>
      <c r="H8" s="1740" t="s">
        <v>531</v>
      </c>
      <c r="I8" s="1740" t="s">
        <v>501</v>
      </c>
      <c r="J8" s="1754" t="s">
        <v>469</v>
      </c>
      <c r="K8" s="1756"/>
    </row>
    <row r="9" spans="2:13" s="15" customFormat="1" x14ac:dyDescent="0.25">
      <c r="B9" s="1742"/>
      <c r="C9" s="1747"/>
      <c r="D9" s="1750"/>
      <c r="E9" s="1751"/>
      <c r="F9" s="1753"/>
      <c r="G9" s="1741"/>
      <c r="H9" s="1741"/>
      <c r="I9" s="1741"/>
      <c r="J9" s="1755"/>
      <c r="K9" s="1756"/>
    </row>
    <row r="10" spans="2:13" s="29" customFormat="1" ht="24" customHeight="1" x14ac:dyDescent="0.25">
      <c r="B10" s="1742"/>
      <c r="C10" s="1743" t="s">
        <v>4</v>
      </c>
      <c r="D10" s="1637"/>
      <c r="E10" s="1636"/>
      <c r="F10" s="23"/>
      <c r="G10" s="608">
        <f>SUM(G18:G29)</f>
        <v>52594570542</v>
      </c>
      <c r="H10" s="608">
        <f>SUM(H18:H29)</f>
        <v>159094570542</v>
      </c>
      <c r="I10" s="1111">
        <f>SUM(I11:I29)</f>
        <v>121500000000</v>
      </c>
      <c r="J10" s="854"/>
      <c r="K10" s="1756"/>
      <c r="M10" s="396">
        <v>-37348487571</v>
      </c>
    </row>
    <row r="11" spans="2:13" s="62" customFormat="1" ht="21.75" customHeight="1" x14ac:dyDescent="0.25">
      <c r="B11" s="1742"/>
      <c r="C11" s="49" t="s">
        <v>5</v>
      </c>
      <c r="D11" s="1714" t="s">
        <v>229</v>
      </c>
      <c r="E11" s="1715"/>
      <c r="F11" s="760" t="s">
        <v>230</v>
      </c>
      <c r="G11" s="647">
        <v>1700000000</v>
      </c>
      <c r="H11" s="647">
        <v>0</v>
      </c>
      <c r="I11" s="647">
        <f t="shared" ref="I11:I12" si="0">H11-G11</f>
        <v>-1700000000</v>
      </c>
      <c r="J11" s="1112" t="s">
        <v>527</v>
      </c>
      <c r="K11" s="1756"/>
    </row>
    <row r="12" spans="2:13" s="62" customFormat="1" ht="19.5" customHeight="1" x14ac:dyDescent="0.25">
      <c r="B12" s="1742"/>
      <c r="C12" s="49" t="s">
        <v>10</v>
      </c>
      <c r="D12" s="1716" t="s">
        <v>220</v>
      </c>
      <c r="E12" s="1717"/>
      <c r="F12" s="763" t="s">
        <v>221</v>
      </c>
      <c r="G12" s="643">
        <v>1500000000</v>
      </c>
      <c r="H12" s="643">
        <v>0</v>
      </c>
      <c r="I12" s="643">
        <f t="shared" si="0"/>
        <v>-1500000000</v>
      </c>
      <c r="J12" s="1112" t="s">
        <v>527</v>
      </c>
      <c r="K12" s="1756"/>
    </row>
    <row r="13" spans="2:13" s="62" customFormat="1" ht="20.25" customHeight="1" x14ac:dyDescent="0.25">
      <c r="B13" s="1742"/>
      <c r="C13" s="49" t="s">
        <v>13</v>
      </c>
      <c r="D13" s="1738" t="s">
        <v>69</v>
      </c>
      <c r="E13" s="1739"/>
      <c r="F13" s="469" t="s">
        <v>137</v>
      </c>
      <c r="G13" s="626">
        <v>300000000</v>
      </c>
      <c r="H13" s="626">
        <v>250000000</v>
      </c>
      <c r="I13" s="626">
        <f t="shared" ref="I13:I19" si="1">H13-G13</f>
        <v>-50000000</v>
      </c>
      <c r="J13" s="117" t="s">
        <v>527</v>
      </c>
      <c r="K13" s="1756"/>
    </row>
    <row r="14" spans="2:13" s="62" customFormat="1" ht="17.25" customHeight="1" x14ac:dyDescent="0.25">
      <c r="B14" s="1742"/>
      <c r="C14" s="39" t="s">
        <v>16</v>
      </c>
      <c r="D14" s="1738" t="s">
        <v>78</v>
      </c>
      <c r="E14" s="1739"/>
      <c r="F14" s="469" t="s">
        <v>137</v>
      </c>
      <c r="G14" s="626">
        <v>750000000</v>
      </c>
      <c r="H14" s="626">
        <v>800000000</v>
      </c>
      <c r="I14" s="626">
        <f t="shared" si="1"/>
        <v>50000000</v>
      </c>
      <c r="J14" s="117" t="s">
        <v>527</v>
      </c>
      <c r="K14" s="1756"/>
    </row>
    <row r="15" spans="2:13" s="113" customFormat="1" ht="26.25" customHeight="1" x14ac:dyDescent="0.25">
      <c r="B15" s="1742"/>
      <c r="C15" s="39" t="s">
        <v>19</v>
      </c>
      <c r="D15" s="1582" t="s">
        <v>80</v>
      </c>
      <c r="E15" s="1583"/>
      <c r="F15" s="469" t="s">
        <v>137</v>
      </c>
      <c r="G15" s="626">
        <v>850000000</v>
      </c>
      <c r="H15" s="626">
        <v>1350000000</v>
      </c>
      <c r="I15" s="626">
        <f t="shared" si="1"/>
        <v>500000000</v>
      </c>
      <c r="J15" s="117" t="s">
        <v>528</v>
      </c>
      <c r="K15" s="1756"/>
    </row>
    <row r="16" spans="2:13" s="62" customFormat="1" ht="26.25" customHeight="1" x14ac:dyDescent="0.25">
      <c r="B16" s="1742"/>
      <c r="C16" s="39" t="s">
        <v>27</v>
      </c>
      <c r="D16" s="1582" t="s">
        <v>136</v>
      </c>
      <c r="E16" s="1583"/>
      <c r="F16" s="469" t="s">
        <v>137</v>
      </c>
      <c r="G16" s="626">
        <v>26300000000</v>
      </c>
      <c r="H16" s="626">
        <v>38000000000</v>
      </c>
      <c r="I16" s="626">
        <f t="shared" si="1"/>
        <v>11700000000</v>
      </c>
      <c r="J16" s="117" t="s">
        <v>529</v>
      </c>
      <c r="K16" s="1756"/>
    </row>
    <row r="17" spans="2:11" s="29" customFormat="1" ht="19.5" customHeight="1" x14ac:dyDescent="0.25">
      <c r="B17" s="1742"/>
      <c r="C17" s="39" t="s">
        <v>30</v>
      </c>
      <c r="D17" s="1582" t="s">
        <v>145</v>
      </c>
      <c r="E17" s="1583"/>
      <c r="F17" s="1132" t="s">
        <v>146</v>
      </c>
      <c r="G17" s="625">
        <v>21200000000</v>
      </c>
      <c r="H17" s="625">
        <v>27200000000</v>
      </c>
      <c r="I17" s="625">
        <f t="shared" si="1"/>
        <v>6000000000</v>
      </c>
      <c r="J17" s="117" t="s">
        <v>529</v>
      </c>
      <c r="K17" s="1756"/>
    </row>
    <row r="18" spans="2:11" s="62" customFormat="1" ht="17.25" customHeight="1" x14ac:dyDescent="0.25">
      <c r="B18" s="1742"/>
      <c r="C18" s="49" t="s">
        <v>8</v>
      </c>
      <c r="D18" s="1582" t="s">
        <v>167</v>
      </c>
      <c r="E18" s="1583"/>
      <c r="F18" s="469" t="s">
        <v>168</v>
      </c>
      <c r="G18" s="630">
        <v>11065000000</v>
      </c>
      <c r="H18" s="630">
        <v>11565000000</v>
      </c>
      <c r="I18" s="630">
        <f t="shared" si="1"/>
        <v>500000000</v>
      </c>
      <c r="J18" s="1112" t="s">
        <v>527</v>
      </c>
      <c r="K18" s="1756"/>
    </row>
    <row r="19" spans="2:11" s="113" customFormat="1" ht="18.75" customHeight="1" x14ac:dyDescent="0.25">
      <c r="B19" s="1742"/>
      <c r="C19" s="39" t="s">
        <v>22</v>
      </c>
      <c r="D19" s="1744" t="s">
        <v>172</v>
      </c>
      <c r="E19" s="1745"/>
      <c r="F19" s="760" t="s">
        <v>230</v>
      </c>
      <c r="G19" s="647">
        <v>3000000000</v>
      </c>
      <c r="H19" s="647">
        <v>9000000000</v>
      </c>
      <c r="I19" s="647">
        <f t="shared" si="1"/>
        <v>6000000000</v>
      </c>
      <c r="J19" s="117" t="s">
        <v>528</v>
      </c>
      <c r="K19" s="1756"/>
    </row>
    <row r="20" spans="2:11" s="62" customFormat="1" ht="18" customHeight="1" x14ac:dyDescent="0.25">
      <c r="B20" s="1742"/>
      <c r="C20" s="771" t="s">
        <v>210</v>
      </c>
      <c r="D20" s="1563" t="s">
        <v>254</v>
      </c>
      <c r="E20" s="1564"/>
      <c r="F20" s="74" t="s">
        <v>464</v>
      </c>
      <c r="G20" s="659">
        <v>26783487571</v>
      </c>
      <c r="H20" s="659">
        <v>101783487571</v>
      </c>
      <c r="I20" s="659">
        <f t="shared" ref="I20:I28" si="2">H20-G20</f>
        <v>75000000000</v>
      </c>
      <c r="J20" s="117" t="s">
        <v>528</v>
      </c>
      <c r="K20" s="1756"/>
    </row>
    <row r="21" spans="2:11" s="29" customFormat="1" ht="18" customHeight="1" x14ac:dyDescent="0.25">
      <c r="B21" s="1742"/>
      <c r="C21" s="771" t="s">
        <v>439</v>
      </c>
      <c r="D21" s="1563" t="s">
        <v>261</v>
      </c>
      <c r="E21" s="1564"/>
      <c r="F21" s="74" t="s">
        <v>464</v>
      </c>
      <c r="G21" s="659">
        <v>5175000000</v>
      </c>
      <c r="H21" s="659">
        <v>30175000000</v>
      </c>
      <c r="I21" s="659">
        <f t="shared" si="2"/>
        <v>25000000000</v>
      </c>
      <c r="J21" s="1112" t="s">
        <v>528</v>
      </c>
      <c r="K21" s="1756"/>
    </row>
    <row r="22" spans="2:11" s="29" customFormat="1" ht="17.25" customHeight="1" x14ac:dyDescent="0.25">
      <c r="B22" s="1742"/>
      <c r="C22" s="771" t="s">
        <v>440</v>
      </c>
      <c r="D22" s="1563" t="s">
        <v>265</v>
      </c>
      <c r="E22" s="1564"/>
      <c r="F22" s="74" t="s">
        <v>464</v>
      </c>
      <c r="G22" s="659">
        <v>1000000000</v>
      </c>
      <c r="H22" s="659">
        <v>500000000</v>
      </c>
      <c r="I22" s="659">
        <f t="shared" si="2"/>
        <v>-500000000</v>
      </c>
      <c r="J22" s="1112" t="s">
        <v>527</v>
      </c>
      <c r="K22" s="1756"/>
    </row>
    <row r="23" spans="2:11" s="62" customFormat="1" ht="18" customHeight="1" x14ac:dyDescent="0.25">
      <c r="B23" s="1742"/>
      <c r="C23" s="771" t="s">
        <v>441</v>
      </c>
      <c r="D23" s="1618" t="s">
        <v>270</v>
      </c>
      <c r="E23" s="1620"/>
      <c r="F23" s="855" t="s">
        <v>271</v>
      </c>
      <c r="G23" s="660">
        <v>1045000000</v>
      </c>
      <c r="H23" s="660">
        <v>1545000000</v>
      </c>
      <c r="I23" s="660">
        <f t="shared" si="2"/>
        <v>500000000</v>
      </c>
      <c r="J23" s="1113" t="s">
        <v>527</v>
      </c>
      <c r="K23" s="1756"/>
    </row>
    <row r="24" spans="2:11" s="29" customFormat="1" ht="18" customHeight="1" x14ac:dyDescent="0.25">
      <c r="B24" s="1742"/>
      <c r="C24" s="39" t="s">
        <v>442</v>
      </c>
      <c r="D24" s="1563" t="s">
        <v>308</v>
      </c>
      <c r="E24" s="1564"/>
      <c r="F24" s="767" t="s">
        <v>309</v>
      </c>
      <c r="G24" s="617">
        <v>2126082971</v>
      </c>
      <c r="H24" s="617">
        <v>600000000</v>
      </c>
      <c r="I24" s="617">
        <f t="shared" si="2"/>
        <v>-1526082971</v>
      </c>
      <c r="J24" s="1114" t="s">
        <v>527</v>
      </c>
      <c r="K24" s="1756"/>
    </row>
    <row r="25" spans="2:11" s="343" customFormat="1" ht="19.5" customHeight="1" x14ac:dyDescent="0.25">
      <c r="B25" s="1742"/>
      <c r="C25" s="771" t="s">
        <v>443</v>
      </c>
      <c r="D25" s="1712" t="s">
        <v>317</v>
      </c>
      <c r="E25" s="1713"/>
      <c r="F25" s="772" t="s">
        <v>318</v>
      </c>
      <c r="G25" s="774">
        <v>100000000</v>
      </c>
      <c r="H25" s="774">
        <v>300000000</v>
      </c>
      <c r="I25" s="774">
        <f t="shared" si="2"/>
        <v>200000000</v>
      </c>
      <c r="J25" s="1115" t="s">
        <v>527</v>
      </c>
      <c r="K25" s="1756"/>
    </row>
    <row r="26" spans="2:11" s="29" customFormat="1" ht="19.5" customHeight="1" x14ac:dyDescent="0.25">
      <c r="B26" s="1742"/>
      <c r="C26" s="771" t="s">
        <v>444</v>
      </c>
      <c r="D26" s="1582" t="s">
        <v>320</v>
      </c>
      <c r="E26" s="1583"/>
      <c r="F26" s="772" t="s">
        <v>321</v>
      </c>
      <c r="G26" s="774">
        <v>200000000</v>
      </c>
      <c r="H26" s="774">
        <v>600000000</v>
      </c>
      <c r="I26" s="774">
        <f t="shared" si="2"/>
        <v>400000000</v>
      </c>
      <c r="J26" s="1116" t="s">
        <v>527</v>
      </c>
      <c r="K26" s="1756"/>
    </row>
    <row r="27" spans="2:11" s="29" customFormat="1" ht="26.25" customHeight="1" x14ac:dyDescent="0.25">
      <c r="B27" s="1742"/>
      <c r="C27" s="771" t="s">
        <v>445</v>
      </c>
      <c r="D27" s="1712" t="s">
        <v>322</v>
      </c>
      <c r="E27" s="1713"/>
      <c r="F27" s="772" t="s">
        <v>323</v>
      </c>
      <c r="G27" s="774">
        <v>100000000</v>
      </c>
      <c r="H27" s="774">
        <v>250000000</v>
      </c>
      <c r="I27" s="774">
        <f t="shared" si="2"/>
        <v>150000000</v>
      </c>
      <c r="J27" s="1117" t="s">
        <v>527</v>
      </c>
      <c r="K27" s="1756"/>
    </row>
    <row r="28" spans="2:11" s="62" customFormat="1" ht="25.5" customHeight="1" x14ac:dyDescent="0.25">
      <c r="B28" s="1742"/>
      <c r="C28" s="771" t="s">
        <v>446</v>
      </c>
      <c r="D28" s="1582" t="s">
        <v>335</v>
      </c>
      <c r="E28" s="1583"/>
      <c r="F28" s="856" t="s">
        <v>336</v>
      </c>
      <c r="G28" s="663">
        <v>2000000000</v>
      </c>
      <c r="H28" s="663">
        <v>2776082971</v>
      </c>
      <c r="I28" s="663">
        <f t="shared" si="2"/>
        <v>776082971</v>
      </c>
      <c r="J28" s="1117" t="s">
        <v>527</v>
      </c>
      <c r="K28" s="1756"/>
    </row>
    <row r="29" spans="2:11" s="29" customFormat="1" ht="21" hidden="1" customHeight="1" x14ac:dyDescent="0.25">
      <c r="B29" s="1742"/>
      <c r="C29" s="39" t="s">
        <v>447</v>
      </c>
      <c r="D29" s="1582"/>
      <c r="E29" s="1583"/>
      <c r="F29" s="856"/>
      <c r="G29" s="663"/>
      <c r="H29" s="663"/>
      <c r="I29" s="663"/>
      <c r="J29" s="1117"/>
      <c r="K29" s="1756"/>
    </row>
    <row r="30" spans="2:11" ht="2.25" customHeight="1" thickBot="1" x14ac:dyDescent="0.3">
      <c r="B30" s="1742"/>
      <c r="C30" s="420"/>
      <c r="D30" s="422"/>
      <c r="E30" s="423"/>
      <c r="F30" s="424"/>
      <c r="G30" s="672"/>
      <c r="H30" s="672"/>
      <c r="I30" s="672"/>
      <c r="J30" s="426"/>
      <c r="K30" s="1756"/>
    </row>
    <row r="31" spans="2:11" ht="3" customHeight="1" thickTop="1" x14ac:dyDescent="0.25">
      <c r="B31" s="1742"/>
      <c r="K31" s="1756"/>
    </row>
  </sheetData>
  <mergeCells count="33">
    <mergeCell ref="B7:B31"/>
    <mergeCell ref="K7:K31"/>
    <mergeCell ref="C8:C9"/>
    <mergeCell ref="D8:E9"/>
    <mergeCell ref="F8:F9"/>
    <mergeCell ref="G8:G9"/>
    <mergeCell ref="D12:E12"/>
    <mergeCell ref="C10:E10"/>
    <mergeCell ref="D11:E11"/>
    <mergeCell ref="D24:E24"/>
    <mergeCell ref="D13:E13"/>
    <mergeCell ref="D14:E14"/>
    <mergeCell ref="D15:E15"/>
    <mergeCell ref="D16:E16"/>
    <mergeCell ref="D17:E17"/>
    <mergeCell ref="D18:E18"/>
    <mergeCell ref="C2:I2"/>
    <mergeCell ref="C3:K3"/>
    <mergeCell ref="C4:K4"/>
    <mergeCell ref="D6:E6"/>
    <mergeCell ref="H8:H9"/>
    <mergeCell ref="I8:I9"/>
    <mergeCell ref="J8:J9"/>
    <mergeCell ref="D19:E19"/>
    <mergeCell ref="D20:E20"/>
    <mergeCell ref="D21:E21"/>
    <mergeCell ref="D22:E22"/>
    <mergeCell ref="D23:E23"/>
    <mergeCell ref="D25:E25"/>
    <mergeCell ref="D26:E26"/>
    <mergeCell ref="D27:E27"/>
    <mergeCell ref="D28:E28"/>
    <mergeCell ref="D29:E29"/>
  </mergeCells>
  <printOptions horizontalCentered="1"/>
  <pageMargins left="0.43307086614173229" right="0.43307086614173229" top="0.59055118110236227" bottom="0.39370078740157483" header="0" footer="0"/>
  <pageSetup paperSize="200" scale="98" orientation="landscape" useFirstPageNumber="1" r:id="rId1"/>
  <headerFooter>
    <oddFooter>&amp;L&amp;"Cambria,Italic"&amp;7&amp;K05-049&amp;F / &amp;A&amp;C&amp;"Cambria,Italic"&amp;7&amp;K04-021Hal &amp;P dari &amp;N&amp;R&amp;"-,Italic"&amp;7&amp;K09-022&amp;D /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P29"/>
  <sheetViews>
    <sheetView zoomScale="85" zoomScaleNormal="85" zoomScaleSheetLayoutView="115" workbookViewId="0">
      <selection activeCell="I28" sqref="I28"/>
    </sheetView>
  </sheetViews>
  <sheetFormatPr defaultRowHeight="12.75" x14ac:dyDescent="0.25"/>
  <cols>
    <col min="1" max="1" width="9" style="53" customWidth="1"/>
    <col min="2" max="2" width="0.5703125" style="13" customWidth="1"/>
    <col min="3" max="3" width="3.28515625" style="427" customWidth="1"/>
    <col min="4" max="4" width="4.140625" style="428" customWidth="1"/>
    <col min="5" max="5" width="3.5703125" style="428" customWidth="1"/>
    <col min="6" max="6" width="2.7109375" style="428" customWidth="1"/>
    <col min="7" max="7" width="56.7109375" style="429" customWidth="1"/>
    <col min="8" max="9" width="18.42578125" style="432" customWidth="1"/>
    <col min="10" max="10" width="0.5703125" style="432" customWidth="1"/>
    <col min="11" max="11" width="0.42578125" style="291" customWidth="1"/>
    <col min="12" max="12" width="17.5703125" style="431" customWidth="1"/>
    <col min="13" max="13" width="4.85546875" style="500" customWidth="1"/>
    <col min="14" max="16" width="14.140625" style="53" customWidth="1"/>
    <col min="17" max="25" width="10.5703125" style="53" customWidth="1"/>
    <col min="26" max="231" width="9.140625" style="53"/>
    <col min="232" max="232" width="1.7109375" style="53" customWidth="1"/>
    <col min="233" max="234" width="4.7109375" style="53" customWidth="1"/>
    <col min="235" max="235" width="54.140625" style="53" customWidth="1"/>
    <col min="236" max="236" width="52" style="53" customWidth="1"/>
    <col min="237" max="237" width="5.28515625" style="53" customWidth="1"/>
    <col min="238" max="238" width="5.85546875" style="53" bestFit="1" customWidth="1"/>
    <col min="239" max="239" width="16.42578125" style="53" customWidth="1"/>
    <col min="240" max="240" width="4.5703125" style="53" customWidth="1"/>
    <col min="241" max="241" width="14.140625" style="53" customWidth="1"/>
    <col min="242" max="242" width="27.140625" style="53" customWidth="1"/>
    <col min="243" max="243" width="16.28515625" style="53" customWidth="1"/>
    <col min="244" max="244" width="13.85546875" style="53" customWidth="1"/>
    <col min="245" max="487" width="9.140625" style="53"/>
    <col min="488" max="488" width="1.7109375" style="53" customWidth="1"/>
    <col min="489" max="490" width="4.7109375" style="53" customWidth="1"/>
    <col min="491" max="491" width="54.140625" style="53" customWidth="1"/>
    <col min="492" max="492" width="52" style="53" customWidth="1"/>
    <col min="493" max="493" width="5.28515625" style="53" customWidth="1"/>
    <col min="494" max="494" width="5.85546875" style="53" bestFit="1" customWidth="1"/>
    <col min="495" max="495" width="16.42578125" style="53" customWidth="1"/>
    <col min="496" max="496" width="4.5703125" style="53" customWidth="1"/>
    <col min="497" max="497" width="14.140625" style="53" customWidth="1"/>
    <col min="498" max="498" width="27.140625" style="53" customWidth="1"/>
    <col min="499" max="499" width="16.28515625" style="53" customWidth="1"/>
    <col min="500" max="500" width="13.85546875" style="53" customWidth="1"/>
    <col min="501" max="743" width="9.140625" style="53"/>
    <col min="744" max="744" width="1.7109375" style="53" customWidth="1"/>
    <col min="745" max="746" width="4.7109375" style="53" customWidth="1"/>
    <col min="747" max="747" width="54.140625" style="53" customWidth="1"/>
    <col min="748" max="748" width="52" style="53" customWidth="1"/>
    <col min="749" max="749" width="5.28515625" style="53" customWidth="1"/>
    <col min="750" max="750" width="5.85546875" style="53" bestFit="1" customWidth="1"/>
    <col min="751" max="751" width="16.42578125" style="53" customWidth="1"/>
    <col min="752" max="752" width="4.5703125" style="53" customWidth="1"/>
    <col min="753" max="753" width="14.140625" style="53" customWidth="1"/>
    <col min="754" max="754" width="27.140625" style="53" customWidth="1"/>
    <col min="755" max="755" width="16.28515625" style="53" customWidth="1"/>
    <col min="756" max="756" width="13.85546875" style="53" customWidth="1"/>
    <col min="757" max="999" width="9.140625" style="53"/>
    <col min="1000" max="1000" width="1.7109375" style="53" customWidth="1"/>
    <col min="1001" max="1002" width="4.7109375" style="53" customWidth="1"/>
    <col min="1003" max="1003" width="54.140625" style="53" customWidth="1"/>
    <col min="1004" max="1004" width="52" style="53" customWidth="1"/>
    <col min="1005" max="1005" width="5.28515625" style="53" customWidth="1"/>
    <col min="1006" max="1006" width="5.85546875" style="53" bestFit="1" customWidth="1"/>
    <col min="1007" max="1007" width="16.42578125" style="53" customWidth="1"/>
    <col min="1008" max="1008" width="4.5703125" style="53" customWidth="1"/>
    <col min="1009" max="1009" width="14.140625" style="53" customWidth="1"/>
    <col min="1010" max="1010" width="27.140625" style="53" customWidth="1"/>
    <col min="1011" max="1011" width="16.28515625" style="53" customWidth="1"/>
    <col min="1012" max="1012" width="13.85546875" style="53" customWidth="1"/>
    <col min="1013" max="1255" width="9.140625" style="53"/>
    <col min="1256" max="1256" width="1.7109375" style="53" customWidth="1"/>
    <col min="1257" max="1258" width="4.7109375" style="53" customWidth="1"/>
    <col min="1259" max="1259" width="54.140625" style="53" customWidth="1"/>
    <col min="1260" max="1260" width="52" style="53" customWidth="1"/>
    <col min="1261" max="1261" width="5.28515625" style="53" customWidth="1"/>
    <col min="1262" max="1262" width="5.85546875" style="53" bestFit="1" customWidth="1"/>
    <col min="1263" max="1263" width="16.42578125" style="53" customWidth="1"/>
    <col min="1264" max="1264" width="4.5703125" style="53" customWidth="1"/>
    <col min="1265" max="1265" width="14.140625" style="53" customWidth="1"/>
    <col min="1266" max="1266" width="27.140625" style="53" customWidth="1"/>
    <col min="1267" max="1267" width="16.28515625" style="53" customWidth="1"/>
    <col min="1268" max="1268" width="13.85546875" style="53" customWidth="1"/>
    <col min="1269" max="1511" width="9.140625" style="53"/>
    <col min="1512" max="1512" width="1.7109375" style="53" customWidth="1"/>
    <col min="1513" max="1514" width="4.7109375" style="53" customWidth="1"/>
    <col min="1515" max="1515" width="54.140625" style="53" customWidth="1"/>
    <col min="1516" max="1516" width="52" style="53" customWidth="1"/>
    <col min="1517" max="1517" width="5.28515625" style="53" customWidth="1"/>
    <col min="1518" max="1518" width="5.85546875" style="53" bestFit="1" customWidth="1"/>
    <col min="1519" max="1519" width="16.42578125" style="53" customWidth="1"/>
    <col min="1520" max="1520" width="4.5703125" style="53" customWidth="1"/>
    <col min="1521" max="1521" width="14.140625" style="53" customWidth="1"/>
    <col min="1522" max="1522" width="27.140625" style="53" customWidth="1"/>
    <col min="1523" max="1523" width="16.28515625" style="53" customWidth="1"/>
    <col min="1524" max="1524" width="13.85546875" style="53" customWidth="1"/>
    <col min="1525" max="1767" width="9.140625" style="53"/>
    <col min="1768" max="1768" width="1.7109375" style="53" customWidth="1"/>
    <col min="1769" max="1770" width="4.7109375" style="53" customWidth="1"/>
    <col min="1771" max="1771" width="54.140625" style="53" customWidth="1"/>
    <col min="1772" max="1772" width="52" style="53" customWidth="1"/>
    <col min="1773" max="1773" width="5.28515625" style="53" customWidth="1"/>
    <col min="1774" max="1774" width="5.85546875" style="53" bestFit="1" customWidth="1"/>
    <col min="1775" max="1775" width="16.42578125" style="53" customWidth="1"/>
    <col min="1776" max="1776" width="4.5703125" style="53" customWidth="1"/>
    <col min="1777" max="1777" width="14.140625" style="53" customWidth="1"/>
    <col min="1778" max="1778" width="27.140625" style="53" customWidth="1"/>
    <col min="1779" max="1779" width="16.28515625" style="53" customWidth="1"/>
    <col min="1780" max="1780" width="13.85546875" style="53" customWidth="1"/>
    <col min="1781" max="2023" width="9.140625" style="53"/>
    <col min="2024" max="2024" width="1.7109375" style="53" customWidth="1"/>
    <col min="2025" max="2026" width="4.7109375" style="53" customWidth="1"/>
    <col min="2027" max="2027" width="54.140625" style="53" customWidth="1"/>
    <col min="2028" max="2028" width="52" style="53" customWidth="1"/>
    <col min="2029" max="2029" width="5.28515625" style="53" customWidth="1"/>
    <col min="2030" max="2030" width="5.85546875" style="53" bestFit="1" customWidth="1"/>
    <col min="2031" max="2031" width="16.42578125" style="53" customWidth="1"/>
    <col min="2032" max="2032" width="4.5703125" style="53" customWidth="1"/>
    <col min="2033" max="2033" width="14.140625" style="53" customWidth="1"/>
    <col min="2034" max="2034" width="27.140625" style="53" customWidth="1"/>
    <col min="2035" max="2035" width="16.28515625" style="53" customWidth="1"/>
    <col min="2036" max="2036" width="13.85546875" style="53" customWidth="1"/>
    <col min="2037" max="2279" width="9.140625" style="53"/>
    <col min="2280" max="2280" width="1.7109375" style="53" customWidth="1"/>
    <col min="2281" max="2282" width="4.7109375" style="53" customWidth="1"/>
    <col min="2283" max="2283" width="54.140625" style="53" customWidth="1"/>
    <col min="2284" max="2284" width="52" style="53" customWidth="1"/>
    <col min="2285" max="2285" width="5.28515625" style="53" customWidth="1"/>
    <col min="2286" max="2286" width="5.85546875" style="53" bestFit="1" customWidth="1"/>
    <col min="2287" max="2287" width="16.42578125" style="53" customWidth="1"/>
    <col min="2288" max="2288" width="4.5703125" style="53" customWidth="1"/>
    <col min="2289" max="2289" width="14.140625" style="53" customWidth="1"/>
    <col min="2290" max="2290" width="27.140625" style="53" customWidth="1"/>
    <col min="2291" max="2291" width="16.28515625" style="53" customWidth="1"/>
    <col min="2292" max="2292" width="13.85546875" style="53" customWidth="1"/>
    <col min="2293" max="2535" width="9.140625" style="53"/>
    <col min="2536" max="2536" width="1.7109375" style="53" customWidth="1"/>
    <col min="2537" max="2538" width="4.7109375" style="53" customWidth="1"/>
    <col min="2539" max="2539" width="54.140625" style="53" customWidth="1"/>
    <col min="2540" max="2540" width="52" style="53" customWidth="1"/>
    <col min="2541" max="2541" width="5.28515625" style="53" customWidth="1"/>
    <col min="2542" max="2542" width="5.85546875" style="53" bestFit="1" customWidth="1"/>
    <col min="2543" max="2543" width="16.42578125" style="53" customWidth="1"/>
    <col min="2544" max="2544" width="4.5703125" style="53" customWidth="1"/>
    <col min="2545" max="2545" width="14.140625" style="53" customWidth="1"/>
    <col min="2546" max="2546" width="27.140625" style="53" customWidth="1"/>
    <col min="2547" max="2547" width="16.28515625" style="53" customWidth="1"/>
    <col min="2548" max="2548" width="13.85546875" style="53" customWidth="1"/>
    <col min="2549" max="2791" width="9.140625" style="53"/>
    <col min="2792" max="2792" width="1.7109375" style="53" customWidth="1"/>
    <col min="2793" max="2794" width="4.7109375" style="53" customWidth="1"/>
    <col min="2795" max="2795" width="54.140625" style="53" customWidth="1"/>
    <col min="2796" max="2796" width="52" style="53" customWidth="1"/>
    <col min="2797" max="2797" width="5.28515625" style="53" customWidth="1"/>
    <col min="2798" max="2798" width="5.85546875" style="53" bestFit="1" customWidth="1"/>
    <col min="2799" max="2799" width="16.42578125" style="53" customWidth="1"/>
    <col min="2800" max="2800" width="4.5703125" style="53" customWidth="1"/>
    <col min="2801" max="2801" width="14.140625" style="53" customWidth="1"/>
    <col min="2802" max="2802" width="27.140625" style="53" customWidth="1"/>
    <col min="2803" max="2803" width="16.28515625" style="53" customWidth="1"/>
    <col min="2804" max="2804" width="13.85546875" style="53" customWidth="1"/>
    <col min="2805" max="3047" width="9.140625" style="53"/>
    <col min="3048" max="3048" width="1.7109375" style="53" customWidth="1"/>
    <col min="3049" max="3050" width="4.7109375" style="53" customWidth="1"/>
    <col min="3051" max="3051" width="54.140625" style="53" customWidth="1"/>
    <col min="3052" max="3052" width="52" style="53" customWidth="1"/>
    <col min="3053" max="3053" width="5.28515625" style="53" customWidth="1"/>
    <col min="3054" max="3054" width="5.85546875" style="53" bestFit="1" customWidth="1"/>
    <col min="3055" max="3055" width="16.42578125" style="53" customWidth="1"/>
    <col min="3056" max="3056" width="4.5703125" style="53" customWidth="1"/>
    <col min="3057" max="3057" width="14.140625" style="53" customWidth="1"/>
    <col min="3058" max="3058" width="27.140625" style="53" customWidth="1"/>
    <col min="3059" max="3059" width="16.28515625" style="53" customWidth="1"/>
    <col min="3060" max="3060" width="13.85546875" style="53" customWidth="1"/>
    <col min="3061" max="3303" width="9.140625" style="53"/>
    <col min="3304" max="3304" width="1.7109375" style="53" customWidth="1"/>
    <col min="3305" max="3306" width="4.7109375" style="53" customWidth="1"/>
    <col min="3307" max="3307" width="54.140625" style="53" customWidth="1"/>
    <col min="3308" max="3308" width="52" style="53" customWidth="1"/>
    <col min="3309" max="3309" width="5.28515625" style="53" customWidth="1"/>
    <col min="3310" max="3310" width="5.85546875" style="53" bestFit="1" customWidth="1"/>
    <col min="3311" max="3311" width="16.42578125" style="53" customWidth="1"/>
    <col min="3312" max="3312" width="4.5703125" style="53" customWidth="1"/>
    <col min="3313" max="3313" width="14.140625" style="53" customWidth="1"/>
    <col min="3314" max="3314" width="27.140625" style="53" customWidth="1"/>
    <col min="3315" max="3315" width="16.28515625" style="53" customWidth="1"/>
    <col min="3316" max="3316" width="13.85546875" style="53" customWidth="1"/>
    <col min="3317" max="3559" width="9.140625" style="53"/>
    <col min="3560" max="3560" width="1.7109375" style="53" customWidth="1"/>
    <col min="3561" max="3562" width="4.7109375" style="53" customWidth="1"/>
    <col min="3563" max="3563" width="54.140625" style="53" customWidth="1"/>
    <col min="3564" max="3564" width="52" style="53" customWidth="1"/>
    <col min="3565" max="3565" width="5.28515625" style="53" customWidth="1"/>
    <col min="3566" max="3566" width="5.85546875" style="53" bestFit="1" customWidth="1"/>
    <col min="3567" max="3567" width="16.42578125" style="53" customWidth="1"/>
    <col min="3568" max="3568" width="4.5703125" style="53" customWidth="1"/>
    <col min="3569" max="3569" width="14.140625" style="53" customWidth="1"/>
    <col min="3570" max="3570" width="27.140625" style="53" customWidth="1"/>
    <col min="3571" max="3571" width="16.28515625" style="53" customWidth="1"/>
    <col min="3572" max="3572" width="13.85546875" style="53" customWidth="1"/>
    <col min="3573" max="3815" width="9.140625" style="53"/>
    <col min="3816" max="3816" width="1.7109375" style="53" customWidth="1"/>
    <col min="3817" max="3818" width="4.7109375" style="53" customWidth="1"/>
    <col min="3819" max="3819" width="54.140625" style="53" customWidth="1"/>
    <col min="3820" max="3820" width="52" style="53" customWidth="1"/>
    <col min="3821" max="3821" width="5.28515625" style="53" customWidth="1"/>
    <col min="3822" max="3822" width="5.85546875" style="53" bestFit="1" customWidth="1"/>
    <col min="3823" max="3823" width="16.42578125" style="53" customWidth="1"/>
    <col min="3824" max="3824" width="4.5703125" style="53" customWidth="1"/>
    <col min="3825" max="3825" width="14.140625" style="53" customWidth="1"/>
    <col min="3826" max="3826" width="27.140625" style="53" customWidth="1"/>
    <col min="3827" max="3827" width="16.28515625" style="53" customWidth="1"/>
    <col min="3828" max="3828" width="13.85546875" style="53" customWidth="1"/>
    <col min="3829" max="4071" width="9.140625" style="53"/>
    <col min="4072" max="4072" width="1.7109375" style="53" customWidth="1"/>
    <col min="4073" max="4074" width="4.7109375" style="53" customWidth="1"/>
    <col min="4075" max="4075" width="54.140625" style="53" customWidth="1"/>
    <col min="4076" max="4076" width="52" style="53" customWidth="1"/>
    <col min="4077" max="4077" width="5.28515625" style="53" customWidth="1"/>
    <col min="4078" max="4078" width="5.85546875" style="53" bestFit="1" customWidth="1"/>
    <col min="4079" max="4079" width="16.42578125" style="53" customWidth="1"/>
    <col min="4080" max="4080" width="4.5703125" style="53" customWidth="1"/>
    <col min="4081" max="4081" width="14.140625" style="53" customWidth="1"/>
    <col min="4082" max="4082" width="27.140625" style="53" customWidth="1"/>
    <col min="4083" max="4083" width="16.28515625" style="53" customWidth="1"/>
    <col min="4084" max="4084" width="13.85546875" style="53" customWidth="1"/>
    <col min="4085" max="4327" width="9.140625" style="53"/>
    <col min="4328" max="4328" width="1.7109375" style="53" customWidth="1"/>
    <col min="4329" max="4330" width="4.7109375" style="53" customWidth="1"/>
    <col min="4331" max="4331" width="54.140625" style="53" customWidth="1"/>
    <col min="4332" max="4332" width="52" style="53" customWidth="1"/>
    <col min="4333" max="4333" width="5.28515625" style="53" customWidth="1"/>
    <col min="4334" max="4334" width="5.85546875" style="53" bestFit="1" customWidth="1"/>
    <col min="4335" max="4335" width="16.42578125" style="53" customWidth="1"/>
    <col min="4336" max="4336" width="4.5703125" style="53" customWidth="1"/>
    <col min="4337" max="4337" width="14.140625" style="53" customWidth="1"/>
    <col min="4338" max="4338" width="27.140625" style="53" customWidth="1"/>
    <col min="4339" max="4339" width="16.28515625" style="53" customWidth="1"/>
    <col min="4340" max="4340" width="13.85546875" style="53" customWidth="1"/>
    <col min="4341" max="4583" width="9.140625" style="53"/>
    <col min="4584" max="4584" width="1.7109375" style="53" customWidth="1"/>
    <col min="4585" max="4586" width="4.7109375" style="53" customWidth="1"/>
    <col min="4587" max="4587" width="54.140625" style="53" customWidth="1"/>
    <col min="4588" max="4588" width="52" style="53" customWidth="1"/>
    <col min="4589" max="4589" width="5.28515625" style="53" customWidth="1"/>
    <col min="4590" max="4590" width="5.85546875" style="53" bestFit="1" customWidth="1"/>
    <col min="4591" max="4591" width="16.42578125" style="53" customWidth="1"/>
    <col min="4592" max="4592" width="4.5703125" style="53" customWidth="1"/>
    <col min="4593" max="4593" width="14.140625" style="53" customWidth="1"/>
    <col min="4594" max="4594" width="27.140625" style="53" customWidth="1"/>
    <col min="4595" max="4595" width="16.28515625" style="53" customWidth="1"/>
    <col min="4596" max="4596" width="13.85546875" style="53" customWidth="1"/>
    <col min="4597" max="4839" width="9.140625" style="53"/>
    <col min="4840" max="4840" width="1.7109375" style="53" customWidth="1"/>
    <col min="4841" max="4842" width="4.7109375" style="53" customWidth="1"/>
    <col min="4843" max="4843" width="54.140625" style="53" customWidth="1"/>
    <col min="4844" max="4844" width="52" style="53" customWidth="1"/>
    <col min="4845" max="4845" width="5.28515625" style="53" customWidth="1"/>
    <col min="4846" max="4846" width="5.85546875" style="53" bestFit="1" customWidth="1"/>
    <col min="4847" max="4847" width="16.42578125" style="53" customWidth="1"/>
    <col min="4848" max="4848" width="4.5703125" style="53" customWidth="1"/>
    <col min="4849" max="4849" width="14.140625" style="53" customWidth="1"/>
    <col min="4850" max="4850" width="27.140625" style="53" customWidth="1"/>
    <col min="4851" max="4851" width="16.28515625" style="53" customWidth="1"/>
    <col min="4852" max="4852" width="13.85546875" style="53" customWidth="1"/>
    <col min="4853" max="5095" width="9.140625" style="53"/>
    <col min="5096" max="5096" width="1.7109375" style="53" customWidth="1"/>
    <col min="5097" max="5098" width="4.7109375" style="53" customWidth="1"/>
    <col min="5099" max="5099" width="54.140625" style="53" customWidth="1"/>
    <col min="5100" max="5100" width="52" style="53" customWidth="1"/>
    <col min="5101" max="5101" width="5.28515625" style="53" customWidth="1"/>
    <col min="5102" max="5102" width="5.85546875" style="53" bestFit="1" customWidth="1"/>
    <col min="5103" max="5103" width="16.42578125" style="53" customWidth="1"/>
    <col min="5104" max="5104" width="4.5703125" style="53" customWidth="1"/>
    <col min="5105" max="5105" width="14.140625" style="53" customWidth="1"/>
    <col min="5106" max="5106" width="27.140625" style="53" customWidth="1"/>
    <col min="5107" max="5107" width="16.28515625" style="53" customWidth="1"/>
    <col min="5108" max="5108" width="13.85546875" style="53" customWidth="1"/>
    <col min="5109" max="5351" width="9.140625" style="53"/>
    <col min="5352" max="5352" width="1.7109375" style="53" customWidth="1"/>
    <col min="5353" max="5354" width="4.7109375" style="53" customWidth="1"/>
    <col min="5355" max="5355" width="54.140625" style="53" customWidth="1"/>
    <col min="5356" max="5356" width="52" style="53" customWidth="1"/>
    <col min="5357" max="5357" width="5.28515625" style="53" customWidth="1"/>
    <col min="5358" max="5358" width="5.85546875" style="53" bestFit="1" customWidth="1"/>
    <col min="5359" max="5359" width="16.42578125" style="53" customWidth="1"/>
    <col min="5360" max="5360" width="4.5703125" style="53" customWidth="1"/>
    <col min="5361" max="5361" width="14.140625" style="53" customWidth="1"/>
    <col min="5362" max="5362" width="27.140625" style="53" customWidth="1"/>
    <col min="5363" max="5363" width="16.28515625" style="53" customWidth="1"/>
    <col min="5364" max="5364" width="13.85546875" style="53" customWidth="1"/>
    <col min="5365" max="5607" width="9.140625" style="53"/>
    <col min="5608" max="5608" width="1.7109375" style="53" customWidth="1"/>
    <col min="5609" max="5610" width="4.7109375" style="53" customWidth="1"/>
    <col min="5611" max="5611" width="54.140625" style="53" customWidth="1"/>
    <col min="5612" max="5612" width="52" style="53" customWidth="1"/>
    <col min="5613" max="5613" width="5.28515625" style="53" customWidth="1"/>
    <col min="5614" max="5614" width="5.85546875" style="53" bestFit="1" customWidth="1"/>
    <col min="5615" max="5615" width="16.42578125" style="53" customWidth="1"/>
    <col min="5616" max="5616" width="4.5703125" style="53" customWidth="1"/>
    <col min="5617" max="5617" width="14.140625" style="53" customWidth="1"/>
    <col min="5618" max="5618" width="27.140625" style="53" customWidth="1"/>
    <col min="5619" max="5619" width="16.28515625" style="53" customWidth="1"/>
    <col min="5620" max="5620" width="13.85546875" style="53" customWidth="1"/>
    <col min="5621" max="5863" width="9.140625" style="53"/>
    <col min="5864" max="5864" width="1.7109375" style="53" customWidth="1"/>
    <col min="5865" max="5866" width="4.7109375" style="53" customWidth="1"/>
    <col min="5867" max="5867" width="54.140625" style="53" customWidth="1"/>
    <col min="5868" max="5868" width="52" style="53" customWidth="1"/>
    <col min="5869" max="5869" width="5.28515625" style="53" customWidth="1"/>
    <col min="5870" max="5870" width="5.85546875" style="53" bestFit="1" customWidth="1"/>
    <col min="5871" max="5871" width="16.42578125" style="53" customWidth="1"/>
    <col min="5872" max="5872" width="4.5703125" style="53" customWidth="1"/>
    <col min="5873" max="5873" width="14.140625" style="53" customWidth="1"/>
    <col min="5874" max="5874" width="27.140625" style="53" customWidth="1"/>
    <col min="5875" max="5875" width="16.28515625" style="53" customWidth="1"/>
    <col min="5876" max="5876" width="13.85546875" style="53" customWidth="1"/>
    <col min="5877" max="6119" width="9.140625" style="53"/>
    <col min="6120" max="6120" width="1.7109375" style="53" customWidth="1"/>
    <col min="6121" max="6122" width="4.7109375" style="53" customWidth="1"/>
    <col min="6123" max="6123" width="54.140625" style="53" customWidth="1"/>
    <col min="6124" max="6124" width="52" style="53" customWidth="1"/>
    <col min="6125" max="6125" width="5.28515625" style="53" customWidth="1"/>
    <col min="6126" max="6126" width="5.85546875" style="53" bestFit="1" customWidth="1"/>
    <col min="6127" max="6127" width="16.42578125" style="53" customWidth="1"/>
    <col min="6128" max="6128" width="4.5703125" style="53" customWidth="1"/>
    <col min="6129" max="6129" width="14.140625" style="53" customWidth="1"/>
    <col min="6130" max="6130" width="27.140625" style="53" customWidth="1"/>
    <col min="6131" max="6131" width="16.28515625" style="53" customWidth="1"/>
    <col min="6132" max="6132" width="13.85546875" style="53" customWidth="1"/>
    <col min="6133" max="6375" width="9.140625" style="53"/>
    <col min="6376" max="6376" width="1.7109375" style="53" customWidth="1"/>
    <col min="6377" max="6378" width="4.7109375" style="53" customWidth="1"/>
    <col min="6379" max="6379" width="54.140625" style="53" customWidth="1"/>
    <col min="6380" max="6380" width="52" style="53" customWidth="1"/>
    <col min="6381" max="6381" width="5.28515625" style="53" customWidth="1"/>
    <col min="6382" max="6382" width="5.85546875" style="53" bestFit="1" customWidth="1"/>
    <col min="6383" max="6383" width="16.42578125" style="53" customWidth="1"/>
    <col min="6384" max="6384" width="4.5703125" style="53" customWidth="1"/>
    <col min="6385" max="6385" width="14.140625" style="53" customWidth="1"/>
    <col min="6386" max="6386" width="27.140625" style="53" customWidth="1"/>
    <col min="6387" max="6387" width="16.28515625" style="53" customWidth="1"/>
    <col min="6388" max="6388" width="13.85546875" style="53" customWidth="1"/>
    <col min="6389" max="6631" width="9.140625" style="53"/>
    <col min="6632" max="6632" width="1.7109375" style="53" customWidth="1"/>
    <col min="6633" max="6634" width="4.7109375" style="53" customWidth="1"/>
    <col min="6635" max="6635" width="54.140625" style="53" customWidth="1"/>
    <col min="6636" max="6636" width="52" style="53" customWidth="1"/>
    <col min="6637" max="6637" width="5.28515625" style="53" customWidth="1"/>
    <col min="6638" max="6638" width="5.85546875" style="53" bestFit="1" customWidth="1"/>
    <col min="6639" max="6639" width="16.42578125" style="53" customWidth="1"/>
    <col min="6640" max="6640" width="4.5703125" style="53" customWidth="1"/>
    <col min="6641" max="6641" width="14.140625" style="53" customWidth="1"/>
    <col min="6642" max="6642" width="27.140625" style="53" customWidth="1"/>
    <col min="6643" max="6643" width="16.28515625" style="53" customWidth="1"/>
    <col min="6644" max="6644" width="13.85546875" style="53" customWidth="1"/>
    <col min="6645" max="6887" width="9.140625" style="53"/>
    <col min="6888" max="6888" width="1.7109375" style="53" customWidth="1"/>
    <col min="6889" max="6890" width="4.7109375" style="53" customWidth="1"/>
    <col min="6891" max="6891" width="54.140625" style="53" customWidth="1"/>
    <col min="6892" max="6892" width="52" style="53" customWidth="1"/>
    <col min="6893" max="6893" width="5.28515625" style="53" customWidth="1"/>
    <col min="6894" max="6894" width="5.85546875" style="53" bestFit="1" customWidth="1"/>
    <col min="6895" max="6895" width="16.42578125" style="53" customWidth="1"/>
    <col min="6896" max="6896" width="4.5703125" style="53" customWidth="1"/>
    <col min="6897" max="6897" width="14.140625" style="53" customWidth="1"/>
    <col min="6898" max="6898" width="27.140625" style="53" customWidth="1"/>
    <col min="6899" max="6899" width="16.28515625" style="53" customWidth="1"/>
    <col min="6900" max="6900" width="13.85546875" style="53" customWidth="1"/>
    <col min="6901" max="7143" width="9.140625" style="53"/>
    <col min="7144" max="7144" width="1.7109375" style="53" customWidth="1"/>
    <col min="7145" max="7146" width="4.7109375" style="53" customWidth="1"/>
    <col min="7147" max="7147" width="54.140625" style="53" customWidth="1"/>
    <col min="7148" max="7148" width="52" style="53" customWidth="1"/>
    <col min="7149" max="7149" width="5.28515625" style="53" customWidth="1"/>
    <col min="7150" max="7150" width="5.85546875" style="53" bestFit="1" customWidth="1"/>
    <col min="7151" max="7151" width="16.42578125" style="53" customWidth="1"/>
    <col min="7152" max="7152" width="4.5703125" style="53" customWidth="1"/>
    <col min="7153" max="7153" width="14.140625" style="53" customWidth="1"/>
    <col min="7154" max="7154" width="27.140625" style="53" customWidth="1"/>
    <col min="7155" max="7155" width="16.28515625" style="53" customWidth="1"/>
    <col min="7156" max="7156" width="13.85546875" style="53" customWidth="1"/>
    <col min="7157" max="7399" width="9.140625" style="53"/>
    <col min="7400" max="7400" width="1.7109375" style="53" customWidth="1"/>
    <col min="7401" max="7402" width="4.7109375" style="53" customWidth="1"/>
    <col min="7403" max="7403" width="54.140625" style="53" customWidth="1"/>
    <col min="7404" max="7404" width="52" style="53" customWidth="1"/>
    <col min="7405" max="7405" width="5.28515625" style="53" customWidth="1"/>
    <col min="7406" max="7406" width="5.85546875" style="53" bestFit="1" customWidth="1"/>
    <col min="7407" max="7407" width="16.42578125" style="53" customWidth="1"/>
    <col min="7408" max="7408" width="4.5703125" style="53" customWidth="1"/>
    <col min="7409" max="7409" width="14.140625" style="53" customWidth="1"/>
    <col min="7410" max="7410" width="27.140625" style="53" customWidth="1"/>
    <col min="7411" max="7411" width="16.28515625" style="53" customWidth="1"/>
    <col min="7412" max="7412" width="13.85546875" style="53" customWidth="1"/>
    <col min="7413" max="7655" width="9.140625" style="53"/>
    <col min="7656" max="7656" width="1.7109375" style="53" customWidth="1"/>
    <col min="7657" max="7658" width="4.7109375" style="53" customWidth="1"/>
    <col min="7659" max="7659" width="54.140625" style="53" customWidth="1"/>
    <col min="7660" max="7660" width="52" style="53" customWidth="1"/>
    <col min="7661" max="7661" width="5.28515625" style="53" customWidth="1"/>
    <col min="7662" max="7662" width="5.85546875" style="53" bestFit="1" customWidth="1"/>
    <col min="7663" max="7663" width="16.42578125" style="53" customWidth="1"/>
    <col min="7664" max="7664" width="4.5703125" style="53" customWidth="1"/>
    <col min="7665" max="7665" width="14.140625" style="53" customWidth="1"/>
    <col min="7666" max="7666" width="27.140625" style="53" customWidth="1"/>
    <col min="7667" max="7667" width="16.28515625" style="53" customWidth="1"/>
    <col min="7668" max="7668" width="13.85546875" style="53" customWidth="1"/>
    <col min="7669" max="7911" width="9.140625" style="53"/>
    <col min="7912" max="7912" width="1.7109375" style="53" customWidth="1"/>
    <col min="7913" max="7914" width="4.7109375" style="53" customWidth="1"/>
    <col min="7915" max="7915" width="54.140625" style="53" customWidth="1"/>
    <col min="7916" max="7916" width="52" style="53" customWidth="1"/>
    <col min="7917" max="7917" width="5.28515625" style="53" customWidth="1"/>
    <col min="7918" max="7918" width="5.85546875" style="53" bestFit="1" customWidth="1"/>
    <col min="7919" max="7919" width="16.42578125" style="53" customWidth="1"/>
    <col min="7920" max="7920" width="4.5703125" style="53" customWidth="1"/>
    <col min="7921" max="7921" width="14.140625" style="53" customWidth="1"/>
    <col min="7922" max="7922" width="27.140625" style="53" customWidth="1"/>
    <col min="7923" max="7923" width="16.28515625" style="53" customWidth="1"/>
    <col min="7924" max="7924" width="13.85546875" style="53" customWidth="1"/>
    <col min="7925" max="8167" width="9.140625" style="53"/>
    <col min="8168" max="8168" width="1.7109375" style="53" customWidth="1"/>
    <col min="8169" max="8170" width="4.7109375" style="53" customWidth="1"/>
    <col min="8171" max="8171" width="54.140625" style="53" customWidth="1"/>
    <col min="8172" max="8172" width="52" style="53" customWidth="1"/>
    <col min="8173" max="8173" width="5.28515625" style="53" customWidth="1"/>
    <col min="8174" max="8174" width="5.85546875" style="53" bestFit="1" customWidth="1"/>
    <col min="8175" max="8175" width="16.42578125" style="53" customWidth="1"/>
    <col min="8176" max="8176" width="4.5703125" style="53" customWidth="1"/>
    <col min="8177" max="8177" width="14.140625" style="53" customWidth="1"/>
    <col min="8178" max="8178" width="27.140625" style="53" customWidth="1"/>
    <col min="8179" max="8179" width="16.28515625" style="53" customWidth="1"/>
    <col min="8180" max="8180" width="13.85546875" style="53" customWidth="1"/>
    <col min="8181" max="8423" width="9.140625" style="53"/>
    <col min="8424" max="8424" width="1.7109375" style="53" customWidth="1"/>
    <col min="8425" max="8426" width="4.7109375" style="53" customWidth="1"/>
    <col min="8427" max="8427" width="54.140625" style="53" customWidth="1"/>
    <col min="8428" max="8428" width="52" style="53" customWidth="1"/>
    <col min="8429" max="8429" width="5.28515625" style="53" customWidth="1"/>
    <col min="8430" max="8430" width="5.85546875" style="53" bestFit="1" customWidth="1"/>
    <col min="8431" max="8431" width="16.42578125" style="53" customWidth="1"/>
    <col min="8432" max="8432" width="4.5703125" style="53" customWidth="1"/>
    <col min="8433" max="8433" width="14.140625" style="53" customWidth="1"/>
    <col min="8434" max="8434" width="27.140625" style="53" customWidth="1"/>
    <col min="8435" max="8435" width="16.28515625" style="53" customWidth="1"/>
    <col min="8436" max="8436" width="13.85546875" style="53" customWidth="1"/>
    <col min="8437" max="8679" width="9.140625" style="53"/>
    <col min="8680" max="8680" width="1.7109375" style="53" customWidth="1"/>
    <col min="8681" max="8682" width="4.7109375" style="53" customWidth="1"/>
    <col min="8683" max="8683" width="54.140625" style="53" customWidth="1"/>
    <col min="8684" max="8684" width="52" style="53" customWidth="1"/>
    <col min="8685" max="8685" width="5.28515625" style="53" customWidth="1"/>
    <col min="8686" max="8686" width="5.85546875" style="53" bestFit="1" customWidth="1"/>
    <col min="8687" max="8687" width="16.42578125" style="53" customWidth="1"/>
    <col min="8688" max="8688" width="4.5703125" style="53" customWidth="1"/>
    <col min="8689" max="8689" width="14.140625" style="53" customWidth="1"/>
    <col min="8690" max="8690" width="27.140625" style="53" customWidth="1"/>
    <col min="8691" max="8691" width="16.28515625" style="53" customWidth="1"/>
    <col min="8692" max="8692" width="13.85546875" style="53" customWidth="1"/>
    <col min="8693" max="8935" width="9.140625" style="53"/>
    <col min="8936" max="8936" width="1.7109375" style="53" customWidth="1"/>
    <col min="8937" max="8938" width="4.7109375" style="53" customWidth="1"/>
    <col min="8939" max="8939" width="54.140625" style="53" customWidth="1"/>
    <col min="8940" max="8940" width="52" style="53" customWidth="1"/>
    <col min="8941" max="8941" width="5.28515625" style="53" customWidth="1"/>
    <col min="8942" max="8942" width="5.85546875" style="53" bestFit="1" customWidth="1"/>
    <col min="8943" max="8943" width="16.42578125" style="53" customWidth="1"/>
    <col min="8944" max="8944" width="4.5703125" style="53" customWidth="1"/>
    <col min="8945" max="8945" width="14.140625" style="53" customWidth="1"/>
    <col min="8946" max="8946" width="27.140625" style="53" customWidth="1"/>
    <col min="8947" max="8947" width="16.28515625" style="53" customWidth="1"/>
    <col min="8948" max="8948" width="13.85546875" style="53" customWidth="1"/>
    <col min="8949" max="9191" width="9.140625" style="53"/>
    <col min="9192" max="9192" width="1.7109375" style="53" customWidth="1"/>
    <col min="9193" max="9194" width="4.7109375" style="53" customWidth="1"/>
    <col min="9195" max="9195" width="54.140625" style="53" customWidth="1"/>
    <col min="9196" max="9196" width="52" style="53" customWidth="1"/>
    <col min="9197" max="9197" width="5.28515625" style="53" customWidth="1"/>
    <col min="9198" max="9198" width="5.85546875" style="53" bestFit="1" customWidth="1"/>
    <col min="9199" max="9199" width="16.42578125" style="53" customWidth="1"/>
    <col min="9200" max="9200" width="4.5703125" style="53" customWidth="1"/>
    <col min="9201" max="9201" width="14.140625" style="53" customWidth="1"/>
    <col min="9202" max="9202" width="27.140625" style="53" customWidth="1"/>
    <col min="9203" max="9203" width="16.28515625" style="53" customWidth="1"/>
    <col min="9204" max="9204" width="13.85546875" style="53" customWidth="1"/>
    <col min="9205" max="9447" width="9.140625" style="53"/>
    <col min="9448" max="9448" width="1.7109375" style="53" customWidth="1"/>
    <col min="9449" max="9450" width="4.7109375" style="53" customWidth="1"/>
    <col min="9451" max="9451" width="54.140625" style="53" customWidth="1"/>
    <col min="9452" max="9452" width="52" style="53" customWidth="1"/>
    <col min="9453" max="9453" width="5.28515625" style="53" customWidth="1"/>
    <col min="9454" max="9454" width="5.85546875" style="53" bestFit="1" customWidth="1"/>
    <col min="9455" max="9455" width="16.42578125" style="53" customWidth="1"/>
    <col min="9456" max="9456" width="4.5703125" style="53" customWidth="1"/>
    <col min="9457" max="9457" width="14.140625" style="53" customWidth="1"/>
    <col min="9458" max="9458" width="27.140625" style="53" customWidth="1"/>
    <col min="9459" max="9459" width="16.28515625" style="53" customWidth="1"/>
    <col min="9460" max="9460" width="13.85546875" style="53" customWidth="1"/>
    <col min="9461" max="9703" width="9.140625" style="53"/>
    <col min="9704" max="9704" width="1.7109375" style="53" customWidth="1"/>
    <col min="9705" max="9706" width="4.7109375" style="53" customWidth="1"/>
    <col min="9707" max="9707" width="54.140625" style="53" customWidth="1"/>
    <col min="9708" max="9708" width="52" style="53" customWidth="1"/>
    <col min="9709" max="9709" width="5.28515625" style="53" customWidth="1"/>
    <col min="9710" max="9710" width="5.85546875" style="53" bestFit="1" customWidth="1"/>
    <col min="9711" max="9711" width="16.42578125" style="53" customWidth="1"/>
    <col min="9712" max="9712" width="4.5703125" style="53" customWidth="1"/>
    <col min="9713" max="9713" width="14.140625" style="53" customWidth="1"/>
    <col min="9714" max="9714" width="27.140625" style="53" customWidth="1"/>
    <col min="9715" max="9715" width="16.28515625" style="53" customWidth="1"/>
    <col min="9716" max="9716" width="13.85546875" style="53" customWidth="1"/>
    <col min="9717" max="9959" width="9.140625" style="53"/>
    <col min="9960" max="9960" width="1.7109375" style="53" customWidth="1"/>
    <col min="9961" max="9962" width="4.7109375" style="53" customWidth="1"/>
    <col min="9963" max="9963" width="54.140625" style="53" customWidth="1"/>
    <col min="9964" max="9964" width="52" style="53" customWidth="1"/>
    <col min="9965" max="9965" width="5.28515625" style="53" customWidth="1"/>
    <col min="9966" max="9966" width="5.85546875" style="53" bestFit="1" customWidth="1"/>
    <col min="9967" max="9967" width="16.42578125" style="53" customWidth="1"/>
    <col min="9968" max="9968" width="4.5703125" style="53" customWidth="1"/>
    <col min="9969" max="9969" width="14.140625" style="53" customWidth="1"/>
    <col min="9970" max="9970" width="27.140625" style="53" customWidth="1"/>
    <col min="9971" max="9971" width="16.28515625" style="53" customWidth="1"/>
    <col min="9972" max="9972" width="13.85546875" style="53" customWidth="1"/>
    <col min="9973" max="10215" width="9.140625" style="53"/>
    <col min="10216" max="10216" width="1.7109375" style="53" customWidth="1"/>
    <col min="10217" max="10218" width="4.7109375" style="53" customWidth="1"/>
    <col min="10219" max="10219" width="54.140625" style="53" customWidth="1"/>
    <col min="10220" max="10220" width="52" style="53" customWidth="1"/>
    <col min="10221" max="10221" width="5.28515625" style="53" customWidth="1"/>
    <col min="10222" max="10222" width="5.85546875" style="53" bestFit="1" customWidth="1"/>
    <col min="10223" max="10223" width="16.42578125" style="53" customWidth="1"/>
    <col min="10224" max="10224" width="4.5703125" style="53" customWidth="1"/>
    <col min="10225" max="10225" width="14.140625" style="53" customWidth="1"/>
    <col min="10226" max="10226" width="27.140625" style="53" customWidth="1"/>
    <col min="10227" max="10227" width="16.28515625" style="53" customWidth="1"/>
    <col min="10228" max="10228" width="13.85546875" style="53" customWidth="1"/>
    <col min="10229" max="10471" width="9.140625" style="53"/>
    <col min="10472" max="10472" width="1.7109375" style="53" customWidth="1"/>
    <col min="10473" max="10474" width="4.7109375" style="53" customWidth="1"/>
    <col min="10475" max="10475" width="54.140625" style="53" customWidth="1"/>
    <col min="10476" max="10476" width="52" style="53" customWidth="1"/>
    <col min="10477" max="10477" width="5.28515625" style="53" customWidth="1"/>
    <col min="10478" max="10478" width="5.85546875" style="53" bestFit="1" customWidth="1"/>
    <col min="10479" max="10479" width="16.42578125" style="53" customWidth="1"/>
    <col min="10480" max="10480" width="4.5703125" style="53" customWidth="1"/>
    <col min="10481" max="10481" width="14.140625" style="53" customWidth="1"/>
    <col min="10482" max="10482" width="27.140625" style="53" customWidth="1"/>
    <col min="10483" max="10483" width="16.28515625" style="53" customWidth="1"/>
    <col min="10484" max="10484" width="13.85546875" style="53" customWidth="1"/>
    <col min="10485" max="10727" width="9.140625" style="53"/>
    <col min="10728" max="10728" width="1.7109375" style="53" customWidth="1"/>
    <col min="10729" max="10730" width="4.7109375" style="53" customWidth="1"/>
    <col min="10731" max="10731" width="54.140625" style="53" customWidth="1"/>
    <col min="10732" max="10732" width="52" style="53" customWidth="1"/>
    <col min="10733" max="10733" width="5.28515625" style="53" customWidth="1"/>
    <col min="10734" max="10734" width="5.85546875" style="53" bestFit="1" customWidth="1"/>
    <col min="10735" max="10735" width="16.42578125" style="53" customWidth="1"/>
    <col min="10736" max="10736" width="4.5703125" style="53" customWidth="1"/>
    <col min="10737" max="10737" width="14.140625" style="53" customWidth="1"/>
    <col min="10738" max="10738" width="27.140625" style="53" customWidth="1"/>
    <col min="10739" max="10739" width="16.28515625" style="53" customWidth="1"/>
    <col min="10740" max="10740" width="13.85546875" style="53" customWidth="1"/>
    <col min="10741" max="10983" width="9.140625" style="53"/>
    <col min="10984" max="10984" width="1.7109375" style="53" customWidth="1"/>
    <col min="10985" max="10986" width="4.7109375" style="53" customWidth="1"/>
    <col min="10987" max="10987" width="54.140625" style="53" customWidth="1"/>
    <col min="10988" max="10988" width="52" style="53" customWidth="1"/>
    <col min="10989" max="10989" width="5.28515625" style="53" customWidth="1"/>
    <col min="10990" max="10990" width="5.85546875" style="53" bestFit="1" customWidth="1"/>
    <col min="10991" max="10991" width="16.42578125" style="53" customWidth="1"/>
    <col min="10992" max="10992" width="4.5703125" style="53" customWidth="1"/>
    <col min="10993" max="10993" width="14.140625" style="53" customWidth="1"/>
    <col min="10994" max="10994" width="27.140625" style="53" customWidth="1"/>
    <col min="10995" max="10995" width="16.28515625" style="53" customWidth="1"/>
    <col min="10996" max="10996" width="13.85546875" style="53" customWidth="1"/>
    <col min="10997" max="11239" width="9.140625" style="53"/>
    <col min="11240" max="11240" width="1.7109375" style="53" customWidth="1"/>
    <col min="11241" max="11242" width="4.7109375" style="53" customWidth="1"/>
    <col min="11243" max="11243" width="54.140625" style="53" customWidth="1"/>
    <col min="11244" max="11244" width="52" style="53" customWidth="1"/>
    <col min="11245" max="11245" width="5.28515625" style="53" customWidth="1"/>
    <col min="11246" max="11246" width="5.85546875" style="53" bestFit="1" customWidth="1"/>
    <col min="11247" max="11247" width="16.42578125" style="53" customWidth="1"/>
    <col min="11248" max="11248" width="4.5703125" style="53" customWidth="1"/>
    <col min="11249" max="11249" width="14.140625" style="53" customWidth="1"/>
    <col min="11250" max="11250" width="27.140625" style="53" customWidth="1"/>
    <col min="11251" max="11251" width="16.28515625" style="53" customWidth="1"/>
    <col min="11252" max="11252" width="13.85546875" style="53" customWidth="1"/>
    <col min="11253" max="11495" width="9.140625" style="53"/>
    <col min="11496" max="11496" width="1.7109375" style="53" customWidth="1"/>
    <col min="11497" max="11498" width="4.7109375" style="53" customWidth="1"/>
    <col min="11499" max="11499" width="54.140625" style="53" customWidth="1"/>
    <col min="11500" max="11500" width="52" style="53" customWidth="1"/>
    <col min="11501" max="11501" width="5.28515625" style="53" customWidth="1"/>
    <col min="11502" max="11502" width="5.85546875" style="53" bestFit="1" customWidth="1"/>
    <col min="11503" max="11503" width="16.42578125" style="53" customWidth="1"/>
    <col min="11504" max="11504" width="4.5703125" style="53" customWidth="1"/>
    <col min="11505" max="11505" width="14.140625" style="53" customWidth="1"/>
    <col min="11506" max="11506" width="27.140625" style="53" customWidth="1"/>
    <col min="11507" max="11507" width="16.28515625" style="53" customWidth="1"/>
    <col min="11508" max="11508" width="13.85546875" style="53" customWidth="1"/>
    <col min="11509" max="11751" width="9.140625" style="53"/>
    <col min="11752" max="11752" width="1.7109375" style="53" customWidth="1"/>
    <col min="11753" max="11754" width="4.7109375" style="53" customWidth="1"/>
    <col min="11755" max="11755" width="54.140625" style="53" customWidth="1"/>
    <col min="11756" max="11756" width="52" style="53" customWidth="1"/>
    <col min="11757" max="11757" width="5.28515625" style="53" customWidth="1"/>
    <col min="11758" max="11758" width="5.85546875" style="53" bestFit="1" customWidth="1"/>
    <col min="11759" max="11759" width="16.42578125" style="53" customWidth="1"/>
    <col min="11760" max="11760" width="4.5703125" style="53" customWidth="1"/>
    <col min="11761" max="11761" width="14.140625" style="53" customWidth="1"/>
    <col min="11762" max="11762" width="27.140625" style="53" customWidth="1"/>
    <col min="11763" max="11763" width="16.28515625" style="53" customWidth="1"/>
    <col min="11764" max="11764" width="13.85546875" style="53" customWidth="1"/>
    <col min="11765" max="12007" width="9.140625" style="53"/>
    <col min="12008" max="12008" width="1.7109375" style="53" customWidth="1"/>
    <col min="12009" max="12010" width="4.7109375" style="53" customWidth="1"/>
    <col min="12011" max="12011" width="54.140625" style="53" customWidth="1"/>
    <col min="12012" max="12012" width="52" style="53" customWidth="1"/>
    <col min="12013" max="12013" width="5.28515625" style="53" customWidth="1"/>
    <col min="12014" max="12014" width="5.85546875" style="53" bestFit="1" customWidth="1"/>
    <col min="12015" max="12015" width="16.42578125" style="53" customWidth="1"/>
    <col min="12016" max="12016" width="4.5703125" style="53" customWidth="1"/>
    <col min="12017" max="12017" width="14.140625" style="53" customWidth="1"/>
    <col min="12018" max="12018" width="27.140625" style="53" customWidth="1"/>
    <col min="12019" max="12019" width="16.28515625" style="53" customWidth="1"/>
    <col min="12020" max="12020" width="13.85546875" style="53" customWidth="1"/>
    <col min="12021" max="12263" width="9.140625" style="53"/>
    <col min="12264" max="12264" width="1.7109375" style="53" customWidth="1"/>
    <col min="12265" max="12266" width="4.7109375" style="53" customWidth="1"/>
    <col min="12267" max="12267" width="54.140625" style="53" customWidth="1"/>
    <col min="12268" max="12268" width="52" style="53" customWidth="1"/>
    <col min="12269" max="12269" width="5.28515625" style="53" customWidth="1"/>
    <col min="12270" max="12270" width="5.85546875" style="53" bestFit="1" customWidth="1"/>
    <col min="12271" max="12271" width="16.42578125" style="53" customWidth="1"/>
    <col min="12272" max="12272" width="4.5703125" style="53" customWidth="1"/>
    <col min="12273" max="12273" width="14.140625" style="53" customWidth="1"/>
    <col min="12274" max="12274" width="27.140625" style="53" customWidth="1"/>
    <col min="12275" max="12275" width="16.28515625" style="53" customWidth="1"/>
    <col min="12276" max="12276" width="13.85546875" style="53" customWidth="1"/>
    <col min="12277" max="12519" width="9.140625" style="53"/>
    <col min="12520" max="12520" width="1.7109375" style="53" customWidth="1"/>
    <col min="12521" max="12522" width="4.7109375" style="53" customWidth="1"/>
    <col min="12523" max="12523" width="54.140625" style="53" customWidth="1"/>
    <col min="12524" max="12524" width="52" style="53" customWidth="1"/>
    <col min="12525" max="12525" width="5.28515625" style="53" customWidth="1"/>
    <col min="12526" max="12526" width="5.85546875" style="53" bestFit="1" customWidth="1"/>
    <col min="12527" max="12527" width="16.42578125" style="53" customWidth="1"/>
    <col min="12528" max="12528" width="4.5703125" style="53" customWidth="1"/>
    <col min="12529" max="12529" width="14.140625" style="53" customWidth="1"/>
    <col min="12530" max="12530" width="27.140625" style="53" customWidth="1"/>
    <col min="12531" max="12531" width="16.28515625" style="53" customWidth="1"/>
    <col min="12532" max="12532" width="13.85546875" style="53" customWidth="1"/>
    <col min="12533" max="12775" width="9.140625" style="53"/>
    <col min="12776" max="12776" width="1.7109375" style="53" customWidth="1"/>
    <col min="12777" max="12778" width="4.7109375" style="53" customWidth="1"/>
    <col min="12779" max="12779" width="54.140625" style="53" customWidth="1"/>
    <col min="12780" max="12780" width="52" style="53" customWidth="1"/>
    <col min="12781" max="12781" width="5.28515625" style="53" customWidth="1"/>
    <col min="12782" max="12782" width="5.85546875" style="53" bestFit="1" customWidth="1"/>
    <col min="12783" max="12783" width="16.42578125" style="53" customWidth="1"/>
    <col min="12784" max="12784" width="4.5703125" style="53" customWidth="1"/>
    <col min="12785" max="12785" width="14.140625" style="53" customWidth="1"/>
    <col min="12786" max="12786" width="27.140625" style="53" customWidth="1"/>
    <col min="12787" max="12787" width="16.28515625" style="53" customWidth="1"/>
    <col min="12788" max="12788" width="13.85546875" style="53" customWidth="1"/>
    <col min="12789" max="13031" width="9.140625" style="53"/>
    <col min="13032" max="13032" width="1.7109375" style="53" customWidth="1"/>
    <col min="13033" max="13034" width="4.7109375" style="53" customWidth="1"/>
    <col min="13035" max="13035" width="54.140625" style="53" customWidth="1"/>
    <col min="13036" max="13036" width="52" style="53" customWidth="1"/>
    <col min="13037" max="13037" width="5.28515625" style="53" customWidth="1"/>
    <col min="13038" max="13038" width="5.85546875" style="53" bestFit="1" customWidth="1"/>
    <col min="13039" max="13039" width="16.42578125" style="53" customWidth="1"/>
    <col min="13040" max="13040" width="4.5703125" style="53" customWidth="1"/>
    <col min="13041" max="13041" width="14.140625" style="53" customWidth="1"/>
    <col min="13042" max="13042" width="27.140625" style="53" customWidth="1"/>
    <col min="13043" max="13043" width="16.28515625" style="53" customWidth="1"/>
    <col min="13044" max="13044" width="13.85546875" style="53" customWidth="1"/>
    <col min="13045" max="13287" width="9.140625" style="53"/>
    <col min="13288" max="13288" width="1.7109375" style="53" customWidth="1"/>
    <col min="13289" max="13290" width="4.7109375" style="53" customWidth="1"/>
    <col min="13291" max="13291" width="54.140625" style="53" customWidth="1"/>
    <col min="13292" max="13292" width="52" style="53" customWidth="1"/>
    <col min="13293" max="13293" width="5.28515625" style="53" customWidth="1"/>
    <col min="13294" max="13294" width="5.85546875" style="53" bestFit="1" customWidth="1"/>
    <col min="13295" max="13295" width="16.42578125" style="53" customWidth="1"/>
    <col min="13296" max="13296" width="4.5703125" style="53" customWidth="1"/>
    <col min="13297" max="13297" width="14.140625" style="53" customWidth="1"/>
    <col min="13298" max="13298" width="27.140625" style="53" customWidth="1"/>
    <col min="13299" max="13299" width="16.28515625" style="53" customWidth="1"/>
    <col min="13300" max="13300" width="13.85546875" style="53" customWidth="1"/>
    <col min="13301" max="13543" width="9.140625" style="53"/>
    <col min="13544" max="13544" width="1.7109375" style="53" customWidth="1"/>
    <col min="13545" max="13546" width="4.7109375" style="53" customWidth="1"/>
    <col min="13547" max="13547" width="54.140625" style="53" customWidth="1"/>
    <col min="13548" max="13548" width="52" style="53" customWidth="1"/>
    <col min="13549" max="13549" width="5.28515625" style="53" customWidth="1"/>
    <col min="13550" max="13550" width="5.85546875" style="53" bestFit="1" customWidth="1"/>
    <col min="13551" max="13551" width="16.42578125" style="53" customWidth="1"/>
    <col min="13552" max="13552" width="4.5703125" style="53" customWidth="1"/>
    <col min="13553" max="13553" width="14.140625" style="53" customWidth="1"/>
    <col min="13554" max="13554" width="27.140625" style="53" customWidth="1"/>
    <col min="13555" max="13555" width="16.28515625" style="53" customWidth="1"/>
    <col min="13556" max="13556" width="13.85546875" style="53" customWidth="1"/>
    <col min="13557" max="13799" width="9.140625" style="53"/>
    <col min="13800" max="13800" width="1.7109375" style="53" customWidth="1"/>
    <col min="13801" max="13802" width="4.7109375" style="53" customWidth="1"/>
    <col min="13803" max="13803" width="54.140625" style="53" customWidth="1"/>
    <col min="13804" max="13804" width="52" style="53" customWidth="1"/>
    <col min="13805" max="13805" width="5.28515625" style="53" customWidth="1"/>
    <col min="13806" max="13806" width="5.85546875" style="53" bestFit="1" customWidth="1"/>
    <col min="13807" max="13807" width="16.42578125" style="53" customWidth="1"/>
    <col min="13808" max="13808" width="4.5703125" style="53" customWidth="1"/>
    <col min="13809" max="13809" width="14.140625" style="53" customWidth="1"/>
    <col min="13810" max="13810" width="27.140625" style="53" customWidth="1"/>
    <col min="13811" max="13811" width="16.28515625" style="53" customWidth="1"/>
    <col min="13812" max="13812" width="13.85546875" style="53" customWidth="1"/>
    <col min="13813" max="14055" width="9.140625" style="53"/>
    <col min="14056" max="14056" width="1.7109375" style="53" customWidth="1"/>
    <col min="14057" max="14058" width="4.7109375" style="53" customWidth="1"/>
    <col min="14059" max="14059" width="54.140625" style="53" customWidth="1"/>
    <col min="14060" max="14060" width="52" style="53" customWidth="1"/>
    <col min="14061" max="14061" width="5.28515625" style="53" customWidth="1"/>
    <col min="14062" max="14062" width="5.85546875" style="53" bestFit="1" customWidth="1"/>
    <col min="14063" max="14063" width="16.42578125" style="53" customWidth="1"/>
    <col min="14064" max="14064" width="4.5703125" style="53" customWidth="1"/>
    <col min="14065" max="14065" width="14.140625" style="53" customWidth="1"/>
    <col min="14066" max="14066" width="27.140625" style="53" customWidth="1"/>
    <col min="14067" max="14067" width="16.28515625" style="53" customWidth="1"/>
    <col min="14068" max="14068" width="13.85546875" style="53" customWidth="1"/>
    <col min="14069" max="14311" width="9.140625" style="53"/>
    <col min="14312" max="14312" width="1.7109375" style="53" customWidth="1"/>
    <col min="14313" max="14314" width="4.7109375" style="53" customWidth="1"/>
    <col min="14315" max="14315" width="54.140625" style="53" customWidth="1"/>
    <col min="14316" max="14316" width="52" style="53" customWidth="1"/>
    <col min="14317" max="14317" width="5.28515625" style="53" customWidth="1"/>
    <col min="14318" max="14318" width="5.85546875" style="53" bestFit="1" customWidth="1"/>
    <col min="14319" max="14319" width="16.42578125" style="53" customWidth="1"/>
    <col min="14320" max="14320" width="4.5703125" style="53" customWidth="1"/>
    <col min="14321" max="14321" width="14.140625" style="53" customWidth="1"/>
    <col min="14322" max="14322" width="27.140625" style="53" customWidth="1"/>
    <col min="14323" max="14323" width="16.28515625" style="53" customWidth="1"/>
    <col min="14324" max="14324" width="13.85546875" style="53" customWidth="1"/>
    <col min="14325" max="14567" width="9.140625" style="53"/>
    <col min="14568" max="14568" width="1.7109375" style="53" customWidth="1"/>
    <col min="14569" max="14570" width="4.7109375" style="53" customWidth="1"/>
    <col min="14571" max="14571" width="54.140625" style="53" customWidth="1"/>
    <col min="14572" max="14572" width="52" style="53" customWidth="1"/>
    <col min="14573" max="14573" width="5.28515625" style="53" customWidth="1"/>
    <col min="14574" max="14574" width="5.85546875" style="53" bestFit="1" customWidth="1"/>
    <col min="14575" max="14575" width="16.42578125" style="53" customWidth="1"/>
    <col min="14576" max="14576" width="4.5703125" style="53" customWidth="1"/>
    <col min="14577" max="14577" width="14.140625" style="53" customWidth="1"/>
    <col min="14578" max="14578" width="27.140625" style="53" customWidth="1"/>
    <col min="14579" max="14579" width="16.28515625" style="53" customWidth="1"/>
    <col min="14580" max="14580" width="13.85546875" style="53" customWidth="1"/>
    <col min="14581" max="14823" width="9.140625" style="53"/>
    <col min="14824" max="14824" width="1.7109375" style="53" customWidth="1"/>
    <col min="14825" max="14826" width="4.7109375" style="53" customWidth="1"/>
    <col min="14827" max="14827" width="54.140625" style="53" customWidth="1"/>
    <col min="14828" max="14828" width="52" style="53" customWidth="1"/>
    <col min="14829" max="14829" width="5.28515625" style="53" customWidth="1"/>
    <col min="14830" max="14830" width="5.85546875" style="53" bestFit="1" customWidth="1"/>
    <col min="14831" max="14831" width="16.42578125" style="53" customWidth="1"/>
    <col min="14832" max="14832" width="4.5703125" style="53" customWidth="1"/>
    <col min="14833" max="14833" width="14.140625" style="53" customWidth="1"/>
    <col min="14834" max="14834" width="27.140625" style="53" customWidth="1"/>
    <col min="14835" max="14835" width="16.28515625" style="53" customWidth="1"/>
    <col min="14836" max="14836" width="13.85546875" style="53" customWidth="1"/>
    <col min="14837" max="15079" width="9.140625" style="53"/>
    <col min="15080" max="15080" width="1.7109375" style="53" customWidth="1"/>
    <col min="15081" max="15082" width="4.7109375" style="53" customWidth="1"/>
    <col min="15083" max="15083" width="54.140625" style="53" customWidth="1"/>
    <col min="15084" max="15084" width="52" style="53" customWidth="1"/>
    <col min="15085" max="15085" width="5.28515625" style="53" customWidth="1"/>
    <col min="15086" max="15086" width="5.85546875" style="53" bestFit="1" customWidth="1"/>
    <col min="15087" max="15087" width="16.42578125" style="53" customWidth="1"/>
    <col min="15088" max="15088" width="4.5703125" style="53" customWidth="1"/>
    <col min="15089" max="15089" width="14.140625" style="53" customWidth="1"/>
    <col min="15090" max="15090" width="27.140625" style="53" customWidth="1"/>
    <col min="15091" max="15091" width="16.28515625" style="53" customWidth="1"/>
    <col min="15092" max="15092" width="13.85546875" style="53" customWidth="1"/>
    <col min="15093" max="15335" width="9.140625" style="53"/>
    <col min="15336" max="15336" width="1.7109375" style="53" customWidth="1"/>
    <col min="15337" max="15338" width="4.7109375" style="53" customWidth="1"/>
    <col min="15339" max="15339" width="54.140625" style="53" customWidth="1"/>
    <col min="15340" max="15340" width="52" style="53" customWidth="1"/>
    <col min="15341" max="15341" width="5.28515625" style="53" customWidth="1"/>
    <col min="15342" max="15342" width="5.85546875" style="53" bestFit="1" customWidth="1"/>
    <col min="15343" max="15343" width="16.42578125" style="53" customWidth="1"/>
    <col min="15344" max="15344" width="4.5703125" style="53" customWidth="1"/>
    <col min="15345" max="15345" width="14.140625" style="53" customWidth="1"/>
    <col min="15346" max="15346" width="27.140625" style="53" customWidth="1"/>
    <col min="15347" max="15347" width="16.28515625" style="53" customWidth="1"/>
    <col min="15348" max="15348" width="13.85546875" style="53" customWidth="1"/>
    <col min="15349" max="15591" width="9.140625" style="53"/>
    <col min="15592" max="15592" width="1.7109375" style="53" customWidth="1"/>
    <col min="15593" max="15594" width="4.7109375" style="53" customWidth="1"/>
    <col min="15595" max="15595" width="54.140625" style="53" customWidth="1"/>
    <col min="15596" max="15596" width="52" style="53" customWidth="1"/>
    <col min="15597" max="15597" width="5.28515625" style="53" customWidth="1"/>
    <col min="15598" max="15598" width="5.85546875" style="53" bestFit="1" customWidth="1"/>
    <col min="15599" max="15599" width="16.42578125" style="53" customWidth="1"/>
    <col min="15600" max="15600" width="4.5703125" style="53" customWidth="1"/>
    <col min="15601" max="15601" width="14.140625" style="53" customWidth="1"/>
    <col min="15602" max="15602" width="27.140625" style="53" customWidth="1"/>
    <col min="15603" max="15603" width="16.28515625" style="53" customWidth="1"/>
    <col min="15604" max="15604" width="13.85546875" style="53" customWidth="1"/>
    <col min="15605" max="15847" width="9.140625" style="53"/>
    <col min="15848" max="15848" width="1.7109375" style="53" customWidth="1"/>
    <col min="15849" max="15850" width="4.7109375" style="53" customWidth="1"/>
    <col min="15851" max="15851" width="54.140625" style="53" customWidth="1"/>
    <col min="15852" max="15852" width="52" style="53" customWidth="1"/>
    <col min="15853" max="15853" width="5.28515625" style="53" customWidth="1"/>
    <col min="15854" max="15854" width="5.85546875" style="53" bestFit="1" customWidth="1"/>
    <col min="15855" max="15855" width="16.42578125" style="53" customWidth="1"/>
    <col min="15856" max="15856" width="4.5703125" style="53" customWidth="1"/>
    <col min="15857" max="15857" width="14.140625" style="53" customWidth="1"/>
    <col min="15858" max="15858" width="27.140625" style="53" customWidth="1"/>
    <col min="15859" max="15859" width="16.28515625" style="53" customWidth="1"/>
    <col min="15860" max="15860" width="13.85546875" style="53" customWidth="1"/>
    <col min="15861" max="16103" width="9.140625" style="53"/>
    <col min="16104" max="16104" width="1.7109375" style="53" customWidth="1"/>
    <col min="16105" max="16106" width="4.7109375" style="53" customWidth="1"/>
    <col min="16107" max="16107" width="54.140625" style="53" customWidth="1"/>
    <col min="16108" max="16108" width="52" style="53" customWidth="1"/>
    <col min="16109" max="16109" width="5.28515625" style="53" customWidth="1"/>
    <col min="16110" max="16110" width="5.85546875" style="53" bestFit="1" customWidth="1"/>
    <col min="16111" max="16111" width="16.42578125" style="53" customWidth="1"/>
    <col min="16112" max="16112" width="4.5703125" style="53" customWidth="1"/>
    <col min="16113" max="16113" width="14.140625" style="53" customWidth="1"/>
    <col min="16114" max="16114" width="27.140625" style="53" customWidth="1"/>
    <col min="16115" max="16115" width="16.28515625" style="53" customWidth="1"/>
    <col min="16116" max="16116" width="13.85546875" style="53" customWidth="1"/>
    <col min="16117" max="16384" width="9.140625" style="53"/>
  </cols>
  <sheetData>
    <row r="2" spans="2:16" s="5" customFormat="1" ht="15.75" hidden="1" x14ac:dyDescent="0.25">
      <c r="B2" s="1128"/>
      <c r="C2" s="1645" t="s">
        <v>431</v>
      </c>
      <c r="D2" s="1645"/>
      <c r="E2" s="1645"/>
      <c r="F2" s="1645"/>
      <c r="G2" s="1645"/>
      <c r="H2" s="1645"/>
      <c r="I2" s="1645"/>
      <c r="J2" s="1125"/>
      <c r="K2" s="451"/>
      <c r="L2" s="451"/>
      <c r="M2" s="3"/>
    </row>
    <row r="3" spans="2:16" s="5" customFormat="1" ht="13.5" customHeight="1" x14ac:dyDescent="0.25">
      <c r="B3" s="1128"/>
      <c r="C3" s="1646" t="s">
        <v>0</v>
      </c>
      <c r="D3" s="1646"/>
      <c r="E3" s="1646"/>
      <c r="F3" s="1646"/>
      <c r="G3" s="1646"/>
      <c r="H3" s="1646"/>
      <c r="I3" s="1646"/>
      <c r="J3" s="1646"/>
      <c r="K3" s="1646"/>
      <c r="L3" s="1126"/>
      <c r="M3" s="481"/>
    </row>
    <row r="4" spans="2:16" s="4" customFormat="1" ht="14.25" customHeight="1" x14ac:dyDescent="0.25">
      <c r="B4" s="1128"/>
      <c r="C4" s="1646" t="s">
        <v>1</v>
      </c>
      <c r="D4" s="1646"/>
      <c r="E4" s="1646"/>
      <c r="F4" s="1646"/>
      <c r="G4" s="1646"/>
      <c r="H4" s="1646"/>
      <c r="I4" s="1646"/>
      <c r="J4" s="1646"/>
      <c r="K4" s="1646"/>
      <c r="L4" s="1126"/>
      <c r="M4" s="481"/>
    </row>
    <row r="5" spans="2:16" s="4" customFormat="1" ht="15.75" x14ac:dyDescent="0.25">
      <c r="B5" s="1128"/>
      <c r="C5" s="452"/>
      <c r="D5" s="453"/>
      <c r="E5" s="453"/>
      <c r="F5" s="453"/>
      <c r="G5" s="454"/>
      <c r="H5" s="457"/>
      <c r="I5" s="457"/>
      <c r="J5" s="457"/>
      <c r="K5" s="458"/>
      <c r="L5" s="456"/>
      <c r="M5" s="1129"/>
    </row>
    <row r="6" spans="2:16" s="4" customFormat="1" ht="18" customHeight="1" x14ac:dyDescent="0.25">
      <c r="B6" s="1128"/>
      <c r="C6" s="1647" t="s">
        <v>2</v>
      </c>
      <c r="D6" s="1647"/>
      <c r="E6" s="1505" t="s">
        <v>3</v>
      </c>
      <c r="F6" s="1505"/>
      <c r="G6" s="1505"/>
      <c r="H6" s="457"/>
      <c r="I6" s="457"/>
      <c r="J6" s="457"/>
      <c r="K6" s="458"/>
      <c r="L6" s="456"/>
      <c r="M6" s="1129"/>
    </row>
    <row r="7" spans="2:16" s="4" customFormat="1" ht="3.75" customHeight="1" thickBot="1" x14ac:dyDescent="0.3">
      <c r="B7" s="1128"/>
      <c r="C7" s="6"/>
      <c r="D7" s="8"/>
      <c r="E7" s="8"/>
      <c r="F7" s="8"/>
      <c r="G7" s="9"/>
      <c r="H7" s="12"/>
      <c r="I7" s="12"/>
      <c r="J7" s="12"/>
      <c r="K7" s="7"/>
      <c r="L7" s="11"/>
      <c r="M7" s="1129"/>
    </row>
    <row r="8" spans="2:16" s="15" customFormat="1" ht="32.25" customHeight="1" thickTop="1" x14ac:dyDescent="0.25">
      <c r="B8" s="13"/>
      <c r="C8" s="1648" t="s">
        <v>433</v>
      </c>
      <c r="D8" s="1649"/>
      <c r="E8" s="1650"/>
      <c r="F8" s="1654" t="s">
        <v>418</v>
      </c>
      <c r="G8" s="1650"/>
      <c r="H8" s="1662" t="s">
        <v>502</v>
      </c>
      <c r="I8" s="1666" t="s">
        <v>488</v>
      </c>
      <c r="J8" s="14"/>
      <c r="K8" s="14"/>
      <c r="L8" s="1643" t="s">
        <v>469</v>
      </c>
      <c r="M8" s="441" t="s">
        <v>426</v>
      </c>
      <c r="N8" s="16"/>
    </row>
    <row r="9" spans="2:16" s="15" customFormat="1" x14ac:dyDescent="0.25">
      <c r="B9" s="13"/>
      <c r="C9" s="1651"/>
      <c r="D9" s="1652"/>
      <c r="E9" s="1653"/>
      <c r="F9" s="1655"/>
      <c r="G9" s="1653"/>
      <c r="H9" s="1663"/>
      <c r="I9" s="1667"/>
      <c r="J9" s="14"/>
      <c r="K9" s="14"/>
      <c r="L9" s="1644"/>
      <c r="M9" s="14"/>
      <c r="P9" s="17"/>
    </row>
    <row r="10" spans="2:16" s="29" customFormat="1" ht="29.25" customHeight="1" x14ac:dyDescent="0.25">
      <c r="B10" s="13"/>
      <c r="C10" s="1669" t="s">
        <v>4</v>
      </c>
      <c r="D10" s="1670"/>
      <c r="E10" s="1670"/>
      <c r="F10" s="1670"/>
      <c r="G10" s="1670"/>
      <c r="H10" s="821">
        <f>H11+H17</f>
        <v>323813925842</v>
      </c>
      <c r="I10" s="1108">
        <f>I11+I17</f>
        <v>448325925842</v>
      </c>
      <c r="J10" s="26"/>
      <c r="K10" s="26"/>
      <c r="L10" s="508"/>
      <c r="M10" s="485">
        <f>SUM(M11:M28)</f>
        <v>0</v>
      </c>
      <c r="N10" s="27" t="e">
        <f>#REF!-I10</f>
        <v>#REF!</v>
      </c>
      <c r="O10" s="28"/>
    </row>
    <row r="11" spans="2:16" s="15" customFormat="1" ht="30" customHeight="1" x14ac:dyDescent="0.25">
      <c r="B11" s="13"/>
      <c r="C11" s="1668" t="s">
        <v>487</v>
      </c>
      <c r="D11" s="1638"/>
      <c r="E11" s="1638"/>
      <c r="F11" s="1638"/>
      <c r="G11" s="1638"/>
      <c r="H11" s="609">
        <f>H12+H13+H14+H15+H16</f>
        <v>11438515300</v>
      </c>
      <c r="I11" s="31">
        <f>I12+I13+I14+I15+I16</f>
        <v>11388515300</v>
      </c>
      <c r="J11" s="32"/>
      <c r="K11" s="32"/>
      <c r="L11" s="509"/>
      <c r="M11" s="486"/>
      <c r="N11" s="33"/>
      <c r="O11" s="17"/>
    </row>
    <row r="12" spans="2:16" s="62" customFormat="1" ht="21.75" customHeight="1" x14ac:dyDescent="0.25">
      <c r="B12" s="726"/>
      <c r="C12" s="1674" t="s">
        <v>432</v>
      </c>
      <c r="D12" s="1675"/>
      <c r="E12" s="1671" t="s">
        <v>6</v>
      </c>
      <c r="F12" s="1672"/>
      <c r="G12" s="1673"/>
      <c r="H12" s="727">
        <f>'Gbg+100'!J13</f>
        <v>5166573300</v>
      </c>
      <c r="I12" s="728">
        <f>'Gbg+100'!M13</f>
        <v>5166573300</v>
      </c>
      <c r="J12" s="44"/>
      <c r="K12" s="44"/>
      <c r="L12" s="729"/>
      <c r="M12" s="488"/>
    </row>
    <row r="13" spans="2:16" s="62" customFormat="1" ht="21.75" customHeight="1" x14ac:dyDescent="0.25">
      <c r="B13" s="726"/>
      <c r="C13" s="1674" t="s">
        <v>434</v>
      </c>
      <c r="D13" s="1675"/>
      <c r="E13" s="1671" t="s">
        <v>35</v>
      </c>
      <c r="F13" s="1672"/>
      <c r="G13" s="1673"/>
      <c r="H13" s="727">
        <f>'Gbg+100'!J24</f>
        <v>4220250000</v>
      </c>
      <c r="I13" s="728">
        <f>'Gbg+100'!M24</f>
        <v>4220250000</v>
      </c>
      <c r="J13" s="44"/>
      <c r="K13" s="44"/>
      <c r="L13" s="729"/>
      <c r="M13" s="488"/>
    </row>
    <row r="14" spans="2:16" s="62" customFormat="1" ht="21.75" customHeight="1" x14ac:dyDescent="0.25">
      <c r="B14" s="726"/>
      <c r="C14" s="1674" t="s">
        <v>435</v>
      </c>
      <c r="D14" s="1675"/>
      <c r="E14" s="1676" t="s">
        <v>59</v>
      </c>
      <c r="F14" s="1677"/>
      <c r="G14" s="1678"/>
      <c r="H14" s="727">
        <f>'Gbg+100'!J40</f>
        <v>329692000</v>
      </c>
      <c r="I14" s="728">
        <f>'Gbg+100'!M40</f>
        <v>329692000</v>
      </c>
      <c r="J14" s="44"/>
      <c r="K14" s="44"/>
      <c r="L14" s="730"/>
      <c r="M14" s="488"/>
    </row>
    <row r="15" spans="2:16" s="62" customFormat="1" ht="21.75" customHeight="1" x14ac:dyDescent="0.25">
      <c r="B15" s="726"/>
      <c r="C15" s="1674" t="s">
        <v>436</v>
      </c>
      <c r="D15" s="1675"/>
      <c r="E15" s="1676" t="s">
        <v>63</v>
      </c>
      <c r="F15" s="1677"/>
      <c r="G15" s="1678"/>
      <c r="H15" s="727">
        <f>'Gbg+100'!J43</f>
        <v>250000000</v>
      </c>
      <c r="I15" s="728">
        <f>'Gbg+100'!M43</f>
        <v>250000000</v>
      </c>
      <c r="J15" s="44"/>
      <c r="K15" s="44"/>
      <c r="L15" s="730"/>
      <c r="M15" s="488"/>
    </row>
    <row r="16" spans="2:16" s="62" customFormat="1" ht="21.75" customHeight="1" x14ac:dyDescent="0.25">
      <c r="B16" s="726"/>
      <c r="C16" s="1674" t="s">
        <v>437</v>
      </c>
      <c r="D16" s="1675"/>
      <c r="E16" s="1676" t="s">
        <v>67</v>
      </c>
      <c r="F16" s="1677"/>
      <c r="G16" s="1678"/>
      <c r="H16" s="1109">
        <f>'Gbg+100'!J46</f>
        <v>1472000000</v>
      </c>
      <c r="I16" s="1110">
        <f>'Gbg+100'!M46</f>
        <v>1422000000</v>
      </c>
      <c r="J16" s="44"/>
      <c r="K16" s="44"/>
      <c r="L16" s="730"/>
      <c r="M16" s="488"/>
    </row>
    <row r="17" spans="2:16" s="15" customFormat="1" ht="30" customHeight="1" x14ac:dyDescent="0.25">
      <c r="B17" s="13"/>
      <c r="C17" s="1668" t="s">
        <v>75</v>
      </c>
      <c r="D17" s="1638"/>
      <c r="E17" s="1638"/>
      <c r="F17" s="1638"/>
      <c r="G17" s="1638"/>
      <c r="H17" s="623">
        <f>H18+H19+H20+H21+H22+H23+H24+H25+H26+H27+H28</f>
        <v>312375410542</v>
      </c>
      <c r="I17" s="103">
        <f>I18+I19+I20+I21+I22+I23+I24+I25+I26+I27+I28</f>
        <v>436937410542</v>
      </c>
      <c r="J17" s="104"/>
      <c r="K17" s="104"/>
      <c r="L17" s="593"/>
      <c r="M17" s="14"/>
    </row>
    <row r="18" spans="2:16" s="62" customFormat="1" ht="22.5" customHeight="1" x14ac:dyDescent="0.25">
      <c r="B18" s="726"/>
      <c r="C18" s="1674" t="s">
        <v>438</v>
      </c>
      <c r="D18" s="1689"/>
      <c r="E18" s="1698" t="s">
        <v>76</v>
      </c>
      <c r="F18" s="1699"/>
      <c r="G18" s="1700"/>
      <c r="H18" s="805">
        <f>'Gbg+100'!J53</f>
        <v>175815000000</v>
      </c>
      <c r="I18" s="806">
        <f>'Gbg+100'!M53</f>
        <v>215035487571</v>
      </c>
      <c r="J18" s="147"/>
      <c r="K18" s="118"/>
      <c r="L18" s="725"/>
      <c r="M18" s="118"/>
      <c r="N18" s="148">
        <v>1100000000</v>
      </c>
      <c r="O18" s="731">
        <v>172915000000</v>
      </c>
    </row>
    <row r="19" spans="2:16" s="62" customFormat="1" ht="22.5" customHeight="1" x14ac:dyDescent="0.25">
      <c r="B19" s="726"/>
      <c r="C19" s="1674" t="s">
        <v>452</v>
      </c>
      <c r="D19" s="1689"/>
      <c r="E19" s="1695" t="s">
        <v>189</v>
      </c>
      <c r="F19" s="1696"/>
      <c r="G19" s="1697"/>
      <c r="H19" s="807">
        <f>'Gbg+100'!J143</f>
        <v>61485840000</v>
      </c>
      <c r="I19" s="808">
        <f>'Gbg+100'!M143</f>
        <v>59285840000</v>
      </c>
      <c r="J19" s="7"/>
      <c r="K19" s="7"/>
      <c r="L19" s="734"/>
      <c r="M19" s="1129"/>
      <c r="N19" s="148"/>
      <c r="O19" s="731"/>
    </row>
    <row r="20" spans="2:16" s="62" customFormat="1" ht="22.5" customHeight="1" x14ac:dyDescent="0.25">
      <c r="B20" s="726"/>
      <c r="C20" s="1684" t="s">
        <v>453</v>
      </c>
      <c r="D20" s="1685"/>
      <c r="E20" s="1695" t="s">
        <v>231</v>
      </c>
      <c r="F20" s="1696"/>
      <c r="G20" s="1697"/>
      <c r="H20" s="735">
        <f>'Gbg+100'!J169</f>
        <v>1850000000</v>
      </c>
      <c r="I20" s="736">
        <f>'Gbg+100'!M169</f>
        <v>2050000000</v>
      </c>
      <c r="J20" s="319"/>
      <c r="K20" s="319"/>
      <c r="L20" s="737"/>
      <c r="M20" s="504"/>
      <c r="N20" s="63"/>
    </row>
    <row r="21" spans="2:16" s="62" customFormat="1" ht="22.5" customHeight="1" x14ac:dyDescent="0.25">
      <c r="B21" s="726"/>
      <c r="C21" s="1674" t="s">
        <v>454</v>
      </c>
      <c r="D21" s="1689"/>
      <c r="E21" s="1695" t="s">
        <v>238</v>
      </c>
      <c r="F21" s="1696"/>
      <c r="G21" s="1697"/>
      <c r="H21" s="738">
        <f>'Gbg+100'!J174</f>
        <v>7000000000</v>
      </c>
      <c r="I21" s="739">
        <f>'Gbg+100'!M174</f>
        <v>7500000000</v>
      </c>
      <c r="J21" s="296"/>
      <c r="K21" s="296"/>
      <c r="L21" s="737"/>
      <c r="M21" s="501"/>
      <c r="P21" s="63"/>
    </row>
    <row r="22" spans="2:16" s="62" customFormat="1" ht="24.75" customHeight="1" x14ac:dyDescent="0.25">
      <c r="B22" s="726"/>
      <c r="C22" s="1693" t="s">
        <v>455</v>
      </c>
      <c r="D22" s="1694"/>
      <c r="E22" s="1695" t="s">
        <v>252</v>
      </c>
      <c r="F22" s="1696"/>
      <c r="G22" s="1697"/>
      <c r="H22" s="809">
        <f>'Gbg+100'!J182</f>
        <v>55724570542</v>
      </c>
      <c r="I22" s="810">
        <f>'Gbg+100'!M182</f>
        <v>141790000000</v>
      </c>
      <c r="J22" s="319"/>
      <c r="K22" s="319"/>
      <c r="L22" s="737"/>
      <c r="M22" s="504"/>
      <c r="N22" s="148"/>
      <c r="O22" s="731">
        <v>42276082971</v>
      </c>
    </row>
    <row r="23" spans="2:16" s="62" customFormat="1" ht="22.5" customHeight="1" x14ac:dyDescent="0.25">
      <c r="B23" s="726"/>
      <c r="C23" s="1674" t="s">
        <v>456</v>
      </c>
      <c r="D23" s="1689"/>
      <c r="E23" s="1690" t="s">
        <v>326</v>
      </c>
      <c r="F23" s="1691"/>
      <c r="G23" s="1692"/>
      <c r="H23" s="732">
        <f>'Gbg+100'!J223</f>
        <v>750000000</v>
      </c>
      <c r="I23" s="733">
        <f>'Gbg+100'!M223</f>
        <v>750000000</v>
      </c>
      <c r="J23" s="7"/>
      <c r="K23" s="7"/>
      <c r="L23" s="740"/>
      <c r="M23" s="1129"/>
    </row>
    <row r="24" spans="2:16" s="62" customFormat="1" ht="22.5" customHeight="1" x14ac:dyDescent="0.25">
      <c r="B24" s="726"/>
      <c r="C24" s="1674" t="s">
        <v>457</v>
      </c>
      <c r="D24" s="1689"/>
      <c r="E24" s="1690" t="s">
        <v>333</v>
      </c>
      <c r="F24" s="1691"/>
      <c r="G24" s="1692"/>
      <c r="H24" s="807">
        <f>'Gbg+100'!J227</f>
        <v>2200000000</v>
      </c>
      <c r="I24" s="808">
        <f>'Gbg+100'!M227</f>
        <v>2976082971</v>
      </c>
      <c r="J24" s="7"/>
      <c r="K24" s="7"/>
      <c r="L24" s="740"/>
      <c r="M24" s="1129"/>
    </row>
    <row r="25" spans="2:16" s="62" customFormat="1" ht="22.5" customHeight="1" x14ac:dyDescent="0.25">
      <c r="B25" s="726"/>
      <c r="C25" s="1674" t="s">
        <v>458</v>
      </c>
      <c r="D25" s="1689"/>
      <c r="E25" s="1690" t="s">
        <v>341</v>
      </c>
      <c r="F25" s="1691"/>
      <c r="G25" s="1692"/>
      <c r="H25" s="732">
        <f>'Gbg+100'!J231</f>
        <v>1550000000</v>
      </c>
      <c r="I25" s="733">
        <f>'Gbg+100'!M231</f>
        <v>1550000000</v>
      </c>
      <c r="J25" s="7"/>
      <c r="K25" s="7"/>
      <c r="L25" s="740"/>
      <c r="M25" s="1129"/>
    </row>
    <row r="26" spans="2:16" s="62" customFormat="1" ht="22.5" customHeight="1" x14ac:dyDescent="0.25">
      <c r="B26" s="726"/>
      <c r="C26" s="1684" t="s">
        <v>459</v>
      </c>
      <c r="D26" s="1685"/>
      <c r="E26" s="1686" t="s">
        <v>355</v>
      </c>
      <c r="F26" s="1687"/>
      <c r="G26" s="1688"/>
      <c r="H26" s="735">
        <f>'Gbg+100'!J238</f>
        <v>5200000000</v>
      </c>
      <c r="I26" s="736">
        <f>'Gbg+100'!M238</f>
        <v>5200000000</v>
      </c>
      <c r="J26" s="319"/>
      <c r="K26" s="319"/>
      <c r="L26" s="741"/>
      <c r="M26" s="504"/>
      <c r="N26" s="63"/>
      <c r="P26" s="63"/>
    </row>
    <row r="27" spans="2:16" s="62" customFormat="1" ht="22.5" customHeight="1" x14ac:dyDescent="0.25">
      <c r="B27" s="726"/>
      <c r="C27" s="1684" t="s">
        <v>460</v>
      </c>
      <c r="D27" s="1685"/>
      <c r="E27" s="1686" t="s">
        <v>378</v>
      </c>
      <c r="F27" s="1687"/>
      <c r="G27" s="1688"/>
      <c r="H27" s="735">
        <f>'Gbg+100'!J254</f>
        <v>500000000</v>
      </c>
      <c r="I27" s="736">
        <f>'Gbg+100'!M254</f>
        <v>500000000</v>
      </c>
      <c r="J27" s="319"/>
      <c r="K27" s="319"/>
      <c r="L27" s="742"/>
      <c r="M27" s="504"/>
      <c r="P27" s="63"/>
    </row>
    <row r="28" spans="2:16" s="62" customFormat="1" ht="22.5" customHeight="1" thickBot="1" x14ac:dyDescent="0.3">
      <c r="B28" s="726"/>
      <c r="C28" s="1679" t="s">
        <v>461</v>
      </c>
      <c r="D28" s="1680"/>
      <c r="E28" s="1681" t="s">
        <v>387</v>
      </c>
      <c r="F28" s="1682"/>
      <c r="G28" s="1683"/>
      <c r="H28" s="743">
        <f>'Gbg+100'!J260</f>
        <v>300000000</v>
      </c>
      <c r="I28" s="744">
        <f>'Gbg+100'!M260</f>
        <v>300000000</v>
      </c>
      <c r="J28" s="319"/>
      <c r="K28" s="319"/>
      <c r="L28" s="741"/>
      <c r="M28" s="504"/>
      <c r="P28" s="63"/>
    </row>
    <row r="29" spans="2:16" ht="1.5" customHeight="1" thickTop="1" x14ac:dyDescent="0.25"/>
  </sheetData>
  <mergeCells count="45">
    <mergeCell ref="C13:D13"/>
    <mergeCell ref="E13:G13"/>
    <mergeCell ref="C2:I2"/>
    <mergeCell ref="C3:K3"/>
    <mergeCell ref="C4:K4"/>
    <mergeCell ref="C6:D6"/>
    <mergeCell ref="E6:G6"/>
    <mergeCell ref="C8:E9"/>
    <mergeCell ref="F8:G9"/>
    <mergeCell ref="H8:H9"/>
    <mergeCell ref="I8:I9"/>
    <mergeCell ref="L8:L9"/>
    <mergeCell ref="C10:G10"/>
    <mergeCell ref="C11:G11"/>
    <mergeCell ref="C12:D12"/>
    <mergeCell ref="E12:G12"/>
    <mergeCell ref="C20:D20"/>
    <mergeCell ref="E20:G20"/>
    <mergeCell ref="C14:D14"/>
    <mergeCell ref="E14:G14"/>
    <mergeCell ref="C15:D15"/>
    <mergeCell ref="E15:G15"/>
    <mergeCell ref="C16:D16"/>
    <mergeCell ref="E16:G16"/>
    <mergeCell ref="C17:G17"/>
    <mergeCell ref="C18:D18"/>
    <mergeCell ref="E18:G18"/>
    <mergeCell ref="C19:D19"/>
    <mergeCell ref="E19:G19"/>
    <mergeCell ref="C21:D21"/>
    <mergeCell ref="E21:G21"/>
    <mergeCell ref="C22:D22"/>
    <mergeCell ref="E22:G22"/>
    <mergeCell ref="C23:D23"/>
    <mergeCell ref="E23:G23"/>
    <mergeCell ref="C27:D27"/>
    <mergeCell ref="E27:G27"/>
    <mergeCell ref="C28:D28"/>
    <mergeCell ref="E28:G28"/>
    <mergeCell ref="C24:D24"/>
    <mergeCell ref="E24:G24"/>
    <mergeCell ref="C25:D25"/>
    <mergeCell ref="E25:G25"/>
    <mergeCell ref="C26:D26"/>
    <mergeCell ref="E26:G26"/>
  </mergeCells>
  <printOptions horizontalCentered="1"/>
  <pageMargins left="0.43307086614173229" right="0.43307086614173229" top="0.59055118110236227" bottom="0.39370078740157483" header="0" footer="0"/>
  <pageSetup paperSize="9" scale="87" fitToHeight="0" orientation="portrait" useFirstPageNumber="1" r:id="rId1"/>
  <headerFooter>
    <oddFooter>&amp;L&amp;"Cambria,Italic"&amp;7&amp;K05-049&amp;F / &amp;A&amp;C&amp;"Cambria,Italic"&amp;7&amp;K04-021Hal &amp;P dari &amp;N&amp;R&amp;"-,Italic"&amp;7&amp;K09-022&amp;D /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M31"/>
  <sheetViews>
    <sheetView zoomScale="85" zoomScaleNormal="85" zoomScaleSheetLayoutView="130" workbookViewId="0">
      <selection activeCell="J25" sqref="J25"/>
    </sheetView>
  </sheetViews>
  <sheetFormatPr defaultRowHeight="12.75" x14ac:dyDescent="0.25"/>
  <cols>
    <col min="1" max="1" width="9" style="53" customWidth="1"/>
    <col min="2" max="2" width="0.5703125" style="13" customWidth="1"/>
    <col min="3" max="3" width="6.28515625" style="427" customWidth="1"/>
    <col min="4" max="4" width="2.7109375" style="428" customWidth="1"/>
    <col min="5" max="5" width="57.7109375" style="429" customWidth="1"/>
    <col min="6" max="6" width="52" style="430" hidden="1" customWidth="1"/>
    <col min="7" max="7" width="18.42578125" style="432" customWidth="1"/>
    <col min="8" max="8" width="18.5703125" style="432" customWidth="1"/>
    <col min="9" max="9" width="16.42578125" style="432" customWidth="1"/>
    <col min="10" max="10" width="22.7109375" style="432" customWidth="1"/>
    <col min="11" max="11" width="0.5703125" style="291" customWidth="1"/>
    <col min="12" max="12" width="10.5703125" style="53" customWidth="1"/>
    <col min="13" max="13" width="15.42578125" style="53" customWidth="1"/>
    <col min="14" max="20" width="10.5703125" style="53" customWidth="1"/>
    <col min="21" max="226" width="9.140625" style="53"/>
    <col min="227" max="227" width="1.7109375" style="53" customWidth="1"/>
    <col min="228" max="229" width="4.7109375" style="53" customWidth="1"/>
    <col min="230" max="230" width="54.140625" style="53" customWidth="1"/>
    <col min="231" max="231" width="52" style="53" customWidth="1"/>
    <col min="232" max="232" width="5.28515625" style="53" customWidth="1"/>
    <col min="233" max="233" width="5.85546875" style="53" bestFit="1" customWidth="1"/>
    <col min="234" max="234" width="16.42578125" style="53" customWidth="1"/>
    <col min="235" max="235" width="4.5703125" style="53" customWidth="1"/>
    <col min="236" max="236" width="14.140625" style="53" customWidth="1"/>
    <col min="237" max="237" width="27.140625" style="53" customWidth="1"/>
    <col min="238" max="238" width="16.28515625" style="53" customWidth="1"/>
    <col min="239" max="239" width="13.85546875" style="53" customWidth="1"/>
    <col min="240" max="482" width="9.140625" style="53"/>
    <col min="483" max="483" width="1.7109375" style="53" customWidth="1"/>
    <col min="484" max="485" width="4.7109375" style="53" customWidth="1"/>
    <col min="486" max="486" width="54.140625" style="53" customWidth="1"/>
    <col min="487" max="487" width="52" style="53" customWidth="1"/>
    <col min="488" max="488" width="5.28515625" style="53" customWidth="1"/>
    <col min="489" max="489" width="5.85546875" style="53" bestFit="1" customWidth="1"/>
    <col min="490" max="490" width="16.42578125" style="53" customWidth="1"/>
    <col min="491" max="491" width="4.5703125" style="53" customWidth="1"/>
    <col min="492" max="492" width="14.140625" style="53" customWidth="1"/>
    <col min="493" max="493" width="27.140625" style="53" customWidth="1"/>
    <col min="494" max="494" width="16.28515625" style="53" customWidth="1"/>
    <col min="495" max="495" width="13.85546875" style="53" customWidth="1"/>
    <col min="496" max="738" width="9.140625" style="53"/>
    <col min="739" max="739" width="1.7109375" style="53" customWidth="1"/>
    <col min="740" max="741" width="4.7109375" style="53" customWidth="1"/>
    <col min="742" max="742" width="54.140625" style="53" customWidth="1"/>
    <col min="743" max="743" width="52" style="53" customWidth="1"/>
    <col min="744" max="744" width="5.28515625" style="53" customWidth="1"/>
    <col min="745" max="745" width="5.85546875" style="53" bestFit="1" customWidth="1"/>
    <col min="746" max="746" width="16.42578125" style="53" customWidth="1"/>
    <col min="747" max="747" width="4.5703125" style="53" customWidth="1"/>
    <col min="748" max="748" width="14.140625" style="53" customWidth="1"/>
    <col min="749" max="749" width="27.140625" style="53" customWidth="1"/>
    <col min="750" max="750" width="16.28515625" style="53" customWidth="1"/>
    <col min="751" max="751" width="13.85546875" style="53" customWidth="1"/>
    <col min="752" max="994" width="9.140625" style="53"/>
    <col min="995" max="995" width="1.7109375" style="53" customWidth="1"/>
    <col min="996" max="997" width="4.7109375" style="53" customWidth="1"/>
    <col min="998" max="998" width="54.140625" style="53" customWidth="1"/>
    <col min="999" max="999" width="52" style="53" customWidth="1"/>
    <col min="1000" max="1000" width="5.28515625" style="53" customWidth="1"/>
    <col min="1001" max="1001" width="5.85546875" style="53" bestFit="1" customWidth="1"/>
    <col min="1002" max="1002" width="16.42578125" style="53" customWidth="1"/>
    <col min="1003" max="1003" width="4.5703125" style="53" customWidth="1"/>
    <col min="1004" max="1004" width="14.140625" style="53" customWidth="1"/>
    <col min="1005" max="1005" width="27.140625" style="53" customWidth="1"/>
    <col min="1006" max="1006" width="16.28515625" style="53" customWidth="1"/>
    <col min="1007" max="1007" width="13.85546875" style="53" customWidth="1"/>
    <col min="1008" max="1250" width="9.140625" style="53"/>
    <col min="1251" max="1251" width="1.7109375" style="53" customWidth="1"/>
    <col min="1252" max="1253" width="4.7109375" style="53" customWidth="1"/>
    <col min="1254" max="1254" width="54.140625" style="53" customWidth="1"/>
    <col min="1255" max="1255" width="52" style="53" customWidth="1"/>
    <col min="1256" max="1256" width="5.28515625" style="53" customWidth="1"/>
    <col min="1257" max="1257" width="5.85546875" style="53" bestFit="1" customWidth="1"/>
    <col min="1258" max="1258" width="16.42578125" style="53" customWidth="1"/>
    <col min="1259" max="1259" width="4.5703125" style="53" customWidth="1"/>
    <col min="1260" max="1260" width="14.140625" style="53" customWidth="1"/>
    <col min="1261" max="1261" width="27.140625" style="53" customWidth="1"/>
    <col min="1262" max="1262" width="16.28515625" style="53" customWidth="1"/>
    <col min="1263" max="1263" width="13.85546875" style="53" customWidth="1"/>
    <col min="1264" max="1506" width="9.140625" style="53"/>
    <col min="1507" max="1507" width="1.7109375" style="53" customWidth="1"/>
    <col min="1508" max="1509" width="4.7109375" style="53" customWidth="1"/>
    <col min="1510" max="1510" width="54.140625" style="53" customWidth="1"/>
    <col min="1511" max="1511" width="52" style="53" customWidth="1"/>
    <col min="1512" max="1512" width="5.28515625" style="53" customWidth="1"/>
    <col min="1513" max="1513" width="5.85546875" style="53" bestFit="1" customWidth="1"/>
    <col min="1514" max="1514" width="16.42578125" style="53" customWidth="1"/>
    <col min="1515" max="1515" width="4.5703125" style="53" customWidth="1"/>
    <col min="1516" max="1516" width="14.140625" style="53" customWidth="1"/>
    <col min="1517" max="1517" width="27.140625" style="53" customWidth="1"/>
    <col min="1518" max="1518" width="16.28515625" style="53" customWidth="1"/>
    <col min="1519" max="1519" width="13.85546875" style="53" customWidth="1"/>
    <col min="1520" max="1762" width="9.140625" style="53"/>
    <col min="1763" max="1763" width="1.7109375" style="53" customWidth="1"/>
    <col min="1764" max="1765" width="4.7109375" style="53" customWidth="1"/>
    <col min="1766" max="1766" width="54.140625" style="53" customWidth="1"/>
    <col min="1767" max="1767" width="52" style="53" customWidth="1"/>
    <col min="1768" max="1768" width="5.28515625" style="53" customWidth="1"/>
    <col min="1769" max="1769" width="5.85546875" style="53" bestFit="1" customWidth="1"/>
    <col min="1770" max="1770" width="16.42578125" style="53" customWidth="1"/>
    <col min="1771" max="1771" width="4.5703125" style="53" customWidth="1"/>
    <col min="1772" max="1772" width="14.140625" style="53" customWidth="1"/>
    <col min="1773" max="1773" width="27.140625" style="53" customWidth="1"/>
    <col min="1774" max="1774" width="16.28515625" style="53" customWidth="1"/>
    <col min="1775" max="1775" width="13.85546875" style="53" customWidth="1"/>
    <col min="1776" max="2018" width="9.140625" style="53"/>
    <col min="2019" max="2019" width="1.7109375" style="53" customWidth="1"/>
    <col min="2020" max="2021" width="4.7109375" style="53" customWidth="1"/>
    <col min="2022" max="2022" width="54.140625" style="53" customWidth="1"/>
    <col min="2023" max="2023" width="52" style="53" customWidth="1"/>
    <col min="2024" max="2024" width="5.28515625" style="53" customWidth="1"/>
    <col min="2025" max="2025" width="5.85546875" style="53" bestFit="1" customWidth="1"/>
    <col min="2026" max="2026" width="16.42578125" style="53" customWidth="1"/>
    <col min="2027" max="2027" width="4.5703125" style="53" customWidth="1"/>
    <col min="2028" max="2028" width="14.140625" style="53" customWidth="1"/>
    <col min="2029" max="2029" width="27.140625" style="53" customWidth="1"/>
    <col min="2030" max="2030" width="16.28515625" style="53" customWidth="1"/>
    <col min="2031" max="2031" width="13.85546875" style="53" customWidth="1"/>
    <col min="2032" max="2274" width="9.140625" style="53"/>
    <col min="2275" max="2275" width="1.7109375" style="53" customWidth="1"/>
    <col min="2276" max="2277" width="4.7109375" style="53" customWidth="1"/>
    <col min="2278" max="2278" width="54.140625" style="53" customWidth="1"/>
    <col min="2279" max="2279" width="52" style="53" customWidth="1"/>
    <col min="2280" max="2280" width="5.28515625" style="53" customWidth="1"/>
    <col min="2281" max="2281" width="5.85546875" style="53" bestFit="1" customWidth="1"/>
    <col min="2282" max="2282" width="16.42578125" style="53" customWidth="1"/>
    <col min="2283" max="2283" width="4.5703125" style="53" customWidth="1"/>
    <col min="2284" max="2284" width="14.140625" style="53" customWidth="1"/>
    <col min="2285" max="2285" width="27.140625" style="53" customWidth="1"/>
    <col min="2286" max="2286" width="16.28515625" style="53" customWidth="1"/>
    <col min="2287" max="2287" width="13.85546875" style="53" customWidth="1"/>
    <col min="2288" max="2530" width="9.140625" style="53"/>
    <col min="2531" max="2531" width="1.7109375" style="53" customWidth="1"/>
    <col min="2532" max="2533" width="4.7109375" style="53" customWidth="1"/>
    <col min="2534" max="2534" width="54.140625" style="53" customWidth="1"/>
    <col min="2535" max="2535" width="52" style="53" customWidth="1"/>
    <col min="2536" max="2536" width="5.28515625" style="53" customWidth="1"/>
    <col min="2537" max="2537" width="5.85546875" style="53" bestFit="1" customWidth="1"/>
    <col min="2538" max="2538" width="16.42578125" style="53" customWidth="1"/>
    <col min="2539" max="2539" width="4.5703125" style="53" customWidth="1"/>
    <col min="2540" max="2540" width="14.140625" style="53" customWidth="1"/>
    <col min="2541" max="2541" width="27.140625" style="53" customWidth="1"/>
    <col min="2542" max="2542" width="16.28515625" style="53" customWidth="1"/>
    <col min="2543" max="2543" width="13.85546875" style="53" customWidth="1"/>
    <col min="2544" max="2786" width="9.140625" style="53"/>
    <col min="2787" max="2787" width="1.7109375" style="53" customWidth="1"/>
    <col min="2788" max="2789" width="4.7109375" style="53" customWidth="1"/>
    <col min="2790" max="2790" width="54.140625" style="53" customWidth="1"/>
    <col min="2791" max="2791" width="52" style="53" customWidth="1"/>
    <col min="2792" max="2792" width="5.28515625" style="53" customWidth="1"/>
    <col min="2793" max="2793" width="5.85546875" style="53" bestFit="1" customWidth="1"/>
    <col min="2794" max="2794" width="16.42578125" style="53" customWidth="1"/>
    <col min="2795" max="2795" width="4.5703125" style="53" customWidth="1"/>
    <col min="2796" max="2796" width="14.140625" style="53" customWidth="1"/>
    <col min="2797" max="2797" width="27.140625" style="53" customWidth="1"/>
    <col min="2798" max="2798" width="16.28515625" style="53" customWidth="1"/>
    <col min="2799" max="2799" width="13.85546875" style="53" customWidth="1"/>
    <col min="2800" max="3042" width="9.140625" style="53"/>
    <col min="3043" max="3043" width="1.7109375" style="53" customWidth="1"/>
    <col min="3044" max="3045" width="4.7109375" style="53" customWidth="1"/>
    <col min="3046" max="3046" width="54.140625" style="53" customWidth="1"/>
    <col min="3047" max="3047" width="52" style="53" customWidth="1"/>
    <col min="3048" max="3048" width="5.28515625" style="53" customWidth="1"/>
    <col min="3049" max="3049" width="5.85546875" style="53" bestFit="1" customWidth="1"/>
    <col min="3050" max="3050" width="16.42578125" style="53" customWidth="1"/>
    <col min="3051" max="3051" width="4.5703125" style="53" customWidth="1"/>
    <col min="3052" max="3052" width="14.140625" style="53" customWidth="1"/>
    <col min="3053" max="3053" width="27.140625" style="53" customWidth="1"/>
    <col min="3054" max="3054" width="16.28515625" style="53" customWidth="1"/>
    <col min="3055" max="3055" width="13.85546875" style="53" customWidth="1"/>
    <col min="3056" max="3298" width="9.140625" style="53"/>
    <col min="3299" max="3299" width="1.7109375" style="53" customWidth="1"/>
    <col min="3300" max="3301" width="4.7109375" style="53" customWidth="1"/>
    <col min="3302" max="3302" width="54.140625" style="53" customWidth="1"/>
    <col min="3303" max="3303" width="52" style="53" customWidth="1"/>
    <col min="3304" max="3304" width="5.28515625" style="53" customWidth="1"/>
    <col min="3305" max="3305" width="5.85546875" style="53" bestFit="1" customWidth="1"/>
    <col min="3306" max="3306" width="16.42578125" style="53" customWidth="1"/>
    <col min="3307" max="3307" width="4.5703125" style="53" customWidth="1"/>
    <col min="3308" max="3308" width="14.140625" style="53" customWidth="1"/>
    <col min="3309" max="3309" width="27.140625" style="53" customWidth="1"/>
    <col min="3310" max="3310" width="16.28515625" style="53" customWidth="1"/>
    <col min="3311" max="3311" width="13.85546875" style="53" customWidth="1"/>
    <col min="3312" max="3554" width="9.140625" style="53"/>
    <col min="3555" max="3555" width="1.7109375" style="53" customWidth="1"/>
    <col min="3556" max="3557" width="4.7109375" style="53" customWidth="1"/>
    <col min="3558" max="3558" width="54.140625" style="53" customWidth="1"/>
    <col min="3559" max="3559" width="52" style="53" customWidth="1"/>
    <col min="3560" max="3560" width="5.28515625" style="53" customWidth="1"/>
    <col min="3561" max="3561" width="5.85546875" style="53" bestFit="1" customWidth="1"/>
    <col min="3562" max="3562" width="16.42578125" style="53" customWidth="1"/>
    <col min="3563" max="3563" width="4.5703125" style="53" customWidth="1"/>
    <col min="3564" max="3564" width="14.140625" style="53" customWidth="1"/>
    <col min="3565" max="3565" width="27.140625" style="53" customWidth="1"/>
    <col min="3566" max="3566" width="16.28515625" style="53" customWidth="1"/>
    <col min="3567" max="3567" width="13.85546875" style="53" customWidth="1"/>
    <col min="3568" max="3810" width="9.140625" style="53"/>
    <col min="3811" max="3811" width="1.7109375" style="53" customWidth="1"/>
    <col min="3812" max="3813" width="4.7109375" style="53" customWidth="1"/>
    <col min="3814" max="3814" width="54.140625" style="53" customWidth="1"/>
    <col min="3815" max="3815" width="52" style="53" customWidth="1"/>
    <col min="3816" max="3816" width="5.28515625" style="53" customWidth="1"/>
    <col min="3817" max="3817" width="5.85546875" style="53" bestFit="1" customWidth="1"/>
    <col min="3818" max="3818" width="16.42578125" style="53" customWidth="1"/>
    <col min="3819" max="3819" width="4.5703125" style="53" customWidth="1"/>
    <col min="3820" max="3820" width="14.140625" style="53" customWidth="1"/>
    <col min="3821" max="3821" width="27.140625" style="53" customWidth="1"/>
    <col min="3822" max="3822" width="16.28515625" style="53" customWidth="1"/>
    <col min="3823" max="3823" width="13.85546875" style="53" customWidth="1"/>
    <col min="3824" max="4066" width="9.140625" style="53"/>
    <col min="4067" max="4067" width="1.7109375" style="53" customWidth="1"/>
    <col min="4068" max="4069" width="4.7109375" style="53" customWidth="1"/>
    <col min="4070" max="4070" width="54.140625" style="53" customWidth="1"/>
    <col min="4071" max="4071" width="52" style="53" customWidth="1"/>
    <col min="4072" max="4072" width="5.28515625" style="53" customWidth="1"/>
    <col min="4073" max="4073" width="5.85546875" style="53" bestFit="1" customWidth="1"/>
    <col min="4074" max="4074" width="16.42578125" style="53" customWidth="1"/>
    <col min="4075" max="4075" width="4.5703125" style="53" customWidth="1"/>
    <col min="4076" max="4076" width="14.140625" style="53" customWidth="1"/>
    <col min="4077" max="4077" width="27.140625" style="53" customWidth="1"/>
    <col min="4078" max="4078" width="16.28515625" style="53" customWidth="1"/>
    <col min="4079" max="4079" width="13.85546875" style="53" customWidth="1"/>
    <col min="4080" max="4322" width="9.140625" style="53"/>
    <col min="4323" max="4323" width="1.7109375" style="53" customWidth="1"/>
    <col min="4324" max="4325" width="4.7109375" style="53" customWidth="1"/>
    <col min="4326" max="4326" width="54.140625" style="53" customWidth="1"/>
    <col min="4327" max="4327" width="52" style="53" customWidth="1"/>
    <col min="4328" max="4328" width="5.28515625" style="53" customWidth="1"/>
    <col min="4329" max="4329" width="5.85546875" style="53" bestFit="1" customWidth="1"/>
    <col min="4330" max="4330" width="16.42578125" style="53" customWidth="1"/>
    <col min="4331" max="4331" width="4.5703125" style="53" customWidth="1"/>
    <col min="4332" max="4332" width="14.140625" style="53" customWidth="1"/>
    <col min="4333" max="4333" width="27.140625" style="53" customWidth="1"/>
    <col min="4334" max="4334" width="16.28515625" style="53" customWidth="1"/>
    <col min="4335" max="4335" width="13.85546875" style="53" customWidth="1"/>
    <col min="4336" max="4578" width="9.140625" style="53"/>
    <col min="4579" max="4579" width="1.7109375" style="53" customWidth="1"/>
    <col min="4580" max="4581" width="4.7109375" style="53" customWidth="1"/>
    <col min="4582" max="4582" width="54.140625" style="53" customWidth="1"/>
    <col min="4583" max="4583" width="52" style="53" customWidth="1"/>
    <col min="4584" max="4584" width="5.28515625" style="53" customWidth="1"/>
    <col min="4585" max="4585" width="5.85546875" style="53" bestFit="1" customWidth="1"/>
    <col min="4586" max="4586" width="16.42578125" style="53" customWidth="1"/>
    <col min="4587" max="4587" width="4.5703125" style="53" customWidth="1"/>
    <col min="4588" max="4588" width="14.140625" style="53" customWidth="1"/>
    <col min="4589" max="4589" width="27.140625" style="53" customWidth="1"/>
    <col min="4590" max="4590" width="16.28515625" style="53" customWidth="1"/>
    <col min="4591" max="4591" width="13.85546875" style="53" customWidth="1"/>
    <col min="4592" max="4834" width="9.140625" style="53"/>
    <col min="4835" max="4835" width="1.7109375" style="53" customWidth="1"/>
    <col min="4836" max="4837" width="4.7109375" style="53" customWidth="1"/>
    <col min="4838" max="4838" width="54.140625" style="53" customWidth="1"/>
    <col min="4839" max="4839" width="52" style="53" customWidth="1"/>
    <col min="4840" max="4840" width="5.28515625" style="53" customWidth="1"/>
    <col min="4841" max="4841" width="5.85546875" style="53" bestFit="1" customWidth="1"/>
    <col min="4842" max="4842" width="16.42578125" style="53" customWidth="1"/>
    <col min="4843" max="4843" width="4.5703125" style="53" customWidth="1"/>
    <col min="4844" max="4844" width="14.140625" style="53" customWidth="1"/>
    <col min="4845" max="4845" width="27.140625" style="53" customWidth="1"/>
    <col min="4846" max="4846" width="16.28515625" style="53" customWidth="1"/>
    <col min="4847" max="4847" width="13.85546875" style="53" customWidth="1"/>
    <col min="4848" max="5090" width="9.140625" style="53"/>
    <col min="5091" max="5091" width="1.7109375" style="53" customWidth="1"/>
    <col min="5092" max="5093" width="4.7109375" style="53" customWidth="1"/>
    <col min="5094" max="5094" width="54.140625" style="53" customWidth="1"/>
    <col min="5095" max="5095" width="52" style="53" customWidth="1"/>
    <col min="5096" max="5096" width="5.28515625" style="53" customWidth="1"/>
    <col min="5097" max="5097" width="5.85546875" style="53" bestFit="1" customWidth="1"/>
    <col min="5098" max="5098" width="16.42578125" style="53" customWidth="1"/>
    <col min="5099" max="5099" width="4.5703125" style="53" customWidth="1"/>
    <col min="5100" max="5100" width="14.140625" style="53" customWidth="1"/>
    <col min="5101" max="5101" width="27.140625" style="53" customWidth="1"/>
    <col min="5102" max="5102" width="16.28515625" style="53" customWidth="1"/>
    <col min="5103" max="5103" width="13.85546875" style="53" customWidth="1"/>
    <col min="5104" max="5346" width="9.140625" style="53"/>
    <col min="5347" max="5347" width="1.7109375" style="53" customWidth="1"/>
    <col min="5348" max="5349" width="4.7109375" style="53" customWidth="1"/>
    <col min="5350" max="5350" width="54.140625" style="53" customWidth="1"/>
    <col min="5351" max="5351" width="52" style="53" customWidth="1"/>
    <col min="5352" max="5352" width="5.28515625" style="53" customWidth="1"/>
    <col min="5353" max="5353" width="5.85546875" style="53" bestFit="1" customWidth="1"/>
    <col min="5354" max="5354" width="16.42578125" style="53" customWidth="1"/>
    <col min="5355" max="5355" width="4.5703125" style="53" customWidth="1"/>
    <col min="5356" max="5356" width="14.140625" style="53" customWidth="1"/>
    <col min="5357" max="5357" width="27.140625" style="53" customWidth="1"/>
    <col min="5358" max="5358" width="16.28515625" style="53" customWidth="1"/>
    <col min="5359" max="5359" width="13.85546875" style="53" customWidth="1"/>
    <col min="5360" max="5602" width="9.140625" style="53"/>
    <col min="5603" max="5603" width="1.7109375" style="53" customWidth="1"/>
    <col min="5604" max="5605" width="4.7109375" style="53" customWidth="1"/>
    <col min="5606" max="5606" width="54.140625" style="53" customWidth="1"/>
    <col min="5607" max="5607" width="52" style="53" customWidth="1"/>
    <col min="5608" max="5608" width="5.28515625" style="53" customWidth="1"/>
    <col min="5609" max="5609" width="5.85546875" style="53" bestFit="1" customWidth="1"/>
    <col min="5610" max="5610" width="16.42578125" style="53" customWidth="1"/>
    <col min="5611" max="5611" width="4.5703125" style="53" customWidth="1"/>
    <col min="5612" max="5612" width="14.140625" style="53" customWidth="1"/>
    <col min="5613" max="5613" width="27.140625" style="53" customWidth="1"/>
    <col min="5614" max="5614" width="16.28515625" style="53" customWidth="1"/>
    <col min="5615" max="5615" width="13.85546875" style="53" customWidth="1"/>
    <col min="5616" max="5858" width="9.140625" style="53"/>
    <col min="5859" max="5859" width="1.7109375" style="53" customWidth="1"/>
    <col min="5860" max="5861" width="4.7109375" style="53" customWidth="1"/>
    <col min="5862" max="5862" width="54.140625" style="53" customWidth="1"/>
    <col min="5863" max="5863" width="52" style="53" customWidth="1"/>
    <col min="5864" max="5864" width="5.28515625" style="53" customWidth="1"/>
    <col min="5865" max="5865" width="5.85546875" style="53" bestFit="1" customWidth="1"/>
    <col min="5866" max="5866" width="16.42578125" style="53" customWidth="1"/>
    <col min="5867" max="5867" width="4.5703125" style="53" customWidth="1"/>
    <col min="5868" max="5868" width="14.140625" style="53" customWidth="1"/>
    <col min="5869" max="5869" width="27.140625" style="53" customWidth="1"/>
    <col min="5870" max="5870" width="16.28515625" style="53" customWidth="1"/>
    <col min="5871" max="5871" width="13.85546875" style="53" customWidth="1"/>
    <col min="5872" max="6114" width="9.140625" style="53"/>
    <col min="6115" max="6115" width="1.7109375" style="53" customWidth="1"/>
    <col min="6116" max="6117" width="4.7109375" style="53" customWidth="1"/>
    <col min="6118" max="6118" width="54.140625" style="53" customWidth="1"/>
    <col min="6119" max="6119" width="52" style="53" customWidth="1"/>
    <col min="6120" max="6120" width="5.28515625" style="53" customWidth="1"/>
    <col min="6121" max="6121" width="5.85546875" style="53" bestFit="1" customWidth="1"/>
    <col min="6122" max="6122" width="16.42578125" style="53" customWidth="1"/>
    <col min="6123" max="6123" width="4.5703125" style="53" customWidth="1"/>
    <col min="6124" max="6124" width="14.140625" style="53" customWidth="1"/>
    <col min="6125" max="6125" width="27.140625" style="53" customWidth="1"/>
    <col min="6126" max="6126" width="16.28515625" style="53" customWidth="1"/>
    <col min="6127" max="6127" width="13.85546875" style="53" customWidth="1"/>
    <col min="6128" max="6370" width="9.140625" style="53"/>
    <col min="6371" max="6371" width="1.7109375" style="53" customWidth="1"/>
    <col min="6372" max="6373" width="4.7109375" style="53" customWidth="1"/>
    <col min="6374" max="6374" width="54.140625" style="53" customWidth="1"/>
    <col min="6375" max="6375" width="52" style="53" customWidth="1"/>
    <col min="6376" max="6376" width="5.28515625" style="53" customWidth="1"/>
    <col min="6377" max="6377" width="5.85546875" style="53" bestFit="1" customWidth="1"/>
    <col min="6378" max="6378" width="16.42578125" style="53" customWidth="1"/>
    <col min="6379" max="6379" width="4.5703125" style="53" customWidth="1"/>
    <col min="6380" max="6380" width="14.140625" style="53" customWidth="1"/>
    <col min="6381" max="6381" width="27.140625" style="53" customWidth="1"/>
    <col min="6382" max="6382" width="16.28515625" style="53" customWidth="1"/>
    <col min="6383" max="6383" width="13.85546875" style="53" customWidth="1"/>
    <col min="6384" max="6626" width="9.140625" style="53"/>
    <col min="6627" max="6627" width="1.7109375" style="53" customWidth="1"/>
    <col min="6628" max="6629" width="4.7109375" style="53" customWidth="1"/>
    <col min="6630" max="6630" width="54.140625" style="53" customWidth="1"/>
    <col min="6631" max="6631" width="52" style="53" customWidth="1"/>
    <col min="6632" max="6632" width="5.28515625" style="53" customWidth="1"/>
    <col min="6633" max="6633" width="5.85546875" style="53" bestFit="1" customWidth="1"/>
    <col min="6634" max="6634" width="16.42578125" style="53" customWidth="1"/>
    <col min="6635" max="6635" width="4.5703125" style="53" customWidth="1"/>
    <col min="6636" max="6636" width="14.140625" style="53" customWidth="1"/>
    <col min="6637" max="6637" width="27.140625" style="53" customWidth="1"/>
    <col min="6638" max="6638" width="16.28515625" style="53" customWidth="1"/>
    <col min="6639" max="6639" width="13.85546875" style="53" customWidth="1"/>
    <col min="6640" max="6882" width="9.140625" style="53"/>
    <col min="6883" max="6883" width="1.7109375" style="53" customWidth="1"/>
    <col min="6884" max="6885" width="4.7109375" style="53" customWidth="1"/>
    <col min="6886" max="6886" width="54.140625" style="53" customWidth="1"/>
    <col min="6887" max="6887" width="52" style="53" customWidth="1"/>
    <col min="6888" max="6888" width="5.28515625" style="53" customWidth="1"/>
    <col min="6889" max="6889" width="5.85546875" style="53" bestFit="1" customWidth="1"/>
    <col min="6890" max="6890" width="16.42578125" style="53" customWidth="1"/>
    <col min="6891" max="6891" width="4.5703125" style="53" customWidth="1"/>
    <col min="6892" max="6892" width="14.140625" style="53" customWidth="1"/>
    <col min="6893" max="6893" width="27.140625" style="53" customWidth="1"/>
    <col min="6894" max="6894" width="16.28515625" style="53" customWidth="1"/>
    <col min="6895" max="6895" width="13.85546875" style="53" customWidth="1"/>
    <col min="6896" max="7138" width="9.140625" style="53"/>
    <col min="7139" max="7139" width="1.7109375" style="53" customWidth="1"/>
    <col min="7140" max="7141" width="4.7109375" style="53" customWidth="1"/>
    <col min="7142" max="7142" width="54.140625" style="53" customWidth="1"/>
    <col min="7143" max="7143" width="52" style="53" customWidth="1"/>
    <col min="7144" max="7144" width="5.28515625" style="53" customWidth="1"/>
    <col min="7145" max="7145" width="5.85546875" style="53" bestFit="1" customWidth="1"/>
    <col min="7146" max="7146" width="16.42578125" style="53" customWidth="1"/>
    <col min="7147" max="7147" width="4.5703125" style="53" customWidth="1"/>
    <col min="7148" max="7148" width="14.140625" style="53" customWidth="1"/>
    <col min="7149" max="7149" width="27.140625" style="53" customWidth="1"/>
    <col min="7150" max="7150" width="16.28515625" style="53" customWidth="1"/>
    <col min="7151" max="7151" width="13.85546875" style="53" customWidth="1"/>
    <col min="7152" max="7394" width="9.140625" style="53"/>
    <col min="7395" max="7395" width="1.7109375" style="53" customWidth="1"/>
    <col min="7396" max="7397" width="4.7109375" style="53" customWidth="1"/>
    <col min="7398" max="7398" width="54.140625" style="53" customWidth="1"/>
    <col min="7399" max="7399" width="52" style="53" customWidth="1"/>
    <col min="7400" max="7400" width="5.28515625" style="53" customWidth="1"/>
    <col min="7401" max="7401" width="5.85546875" style="53" bestFit="1" customWidth="1"/>
    <col min="7402" max="7402" width="16.42578125" style="53" customWidth="1"/>
    <col min="7403" max="7403" width="4.5703125" style="53" customWidth="1"/>
    <col min="7404" max="7404" width="14.140625" style="53" customWidth="1"/>
    <col min="7405" max="7405" width="27.140625" style="53" customWidth="1"/>
    <col min="7406" max="7406" width="16.28515625" style="53" customWidth="1"/>
    <col min="7407" max="7407" width="13.85546875" style="53" customWidth="1"/>
    <col min="7408" max="7650" width="9.140625" style="53"/>
    <col min="7651" max="7651" width="1.7109375" style="53" customWidth="1"/>
    <col min="7652" max="7653" width="4.7109375" style="53" customWidth="1"/>
    <col min="7654" max="7654" width="54.140625" style="53" customWidth="1"/>
    <col min="7655" max="7655" width="52" style="53" customWidth="1"/>
    <col min="7656" max="7656" width="5.28515625" style="53" customWidth="1"/>
    <col min="7657" max="7657" width="5.85546875" style="53" bestFit="1" customWidth="1"/>
    <col min="7658" max="7658" width="16.42578125" style="53" customWidth="1"/>
    <col min="7659" max="7659" width="4.5703125" style="53" customWidth="1"/>
    <col min="7660" max="7660" width="14.140625" style="53" customWidth="1"/>
    <col min="7661" max="7661" width="27.140625" style="53" customWidth="1"/>
    <col min="7662" max="7662" width="16.28515625" style="53" customWidth="1"/>
    <col min="7663" max="7663" width="13.85546875" style="53" customWidth="1"/>
    <col min="7664" max="7906" width="9.140625" style="53"/>
    <col min="7907" max="7907" width="1.7109375" style="53" customWidth="1"/>
    <col min="7908" max="7909" width="4.7109375" style="53" customWidth="1"/>
    <col min="7910" max="7910" width="54.140625" style="53" customWidth="1"/>
    <col min="7911" max="7911" width="52" style="53" customWidth="1"/>
    <col min="7912" max="7912" width="5.28515625" style="53" customWidth="1"/>
    <col min="7913" max="7913" width="5.85546875" style="53" bestFit="1" customWidth="1"/>
    <col min="7914" max="7914" width="16.42578125" style="53" customWidth="1"/>
    <col min="7915" max="7915" width="4.5703125" style="53" customWidth="1"/>
    <col min="7916" max="7916" width="14.140625" style="53" customWidth="1"/>
    <col min="7917" max="7917" width="27.140625" style="53" customWidth="1"/>
    <col min="7918" max="7918" width="16.28515625" style="53" customWidth="1"/>
    <col min="7919" max="7919" width="13.85546875" style="53" customWidth="1"/>
    <col min="7920" max="8162" width="9.140625" style="53"/>
    <col min="8163" max="8163" width="1.7109375" style="53" customWidth="1"/>
    <col min="8164" max="8165" width="4.7109375" style="53" customWidth="1"/>
    <col min="8166" max="8166" width="54.140625" style="53" customWidth="1"/>
    <col min="8167" max="8167" width="52" style="53" customWidth="1"/>
    <col min="8168" max="8168" width="5.28515625" style="53" customWidth="1"/>
    <col min="8169" max="8169" width="5.85546875" style="53" bestFit="1" customWidth="1"/>
    <col min="8170" max="8170" width="16.42578125" style="53" customWidth="1"/>
    <col min="8171" max="8171" width="4.5703125" style="53" customWidth="1"/>
    <col min="8172" max="8172" width="14.140625" style="53" customWidth="1"/>
    <col min="8173" max="8173" width="27.140625" style="53" customWidth="1"/>
    <col min="8174" max="8174" width="16.28515625" style="53" customWidth="1"/>
    <col min="8175" max="8175" width="13.85546875" style="53" customWidth="1"/>
    <col min="8176" max="8418" width="9.140625" style="53"/>
    <col min="8419" max="8419" width="1.7109375" style="53" customWidth="1"/>
    <col min="8420" max="8421" width="4.7109375" style="53" customWidth="1"/>
    <col min="8422" max="8422" width="54.140625" style="53" customWidth="1"/>
    <col min="8423" max="8423" width="52" style="53" customWidth="1"/>
    <col min="8424" max="8424" width="5.28515625" style="53" customWidth="1"/>
    <col min="8425" max="8425" width="5.85546875" style="53" bestFit="1" customWidth="1"/>
    <col min="8426" max="8426" width="16.42578125" style="53" customWidth="1"/>
    <col min="8427" max="8427" width="4.5703125" style="53" customWidth="1"/>
    <col min="8428" max="8428" width="14.140625" style="53" customWidth="1"/>
    <col min="8429" max="8429" width="27.140625" style="53" customWidth="1"/>
    <col min="8430" max="8430" width="16.28515625" style="53" customWidth="1"/>
    <col min="8431" max="8431" width="13.85546875" style="53" customWidth="1"/>
    <col min="8432" max="8674" width="9.140625" style="53"/>
    <col min="8675" max="8675" width="1.7109375" style="53" customWidth="1"/>
    <col min="8676" max="8677" width="4.7109375" style="53" customWidth="1"/>
    <col min="8678" max="8678" width="54.140625" style="53" customWidth="1"/>
    <col min="8679" max="8679" width="52" style="53" customWidth="1"/>
    <col min="8680" max="8680" width="5.28515625" style="53" customWidth="1"/>
    <col min="8681" max="8681" width="5.85546875" style="53" bestFit="1" customWidth="1"/>
    <col min="8682" max="8682" width="16.42578125" style="53" customWidth="1"/>
    <col min="8683" max="8683" width="4.5703125" style="53" customWidth="1"/>
    <col min="8684" max="8684" width="14.140625" style="53" customWidth="1"/>
    <col min="8685" max="8685" width="27.140625" style="53" customWidth="1"/>
    <col min="8686" max="8686" width="16.28515625" style="53" customWidth="1"/>
    <col min="8687" max="8687" width="13.85546875" style="53" customWidth="1"/>
    <col min="8688" max="8930" width="9.140625" style="53"/>
    <col min="8931" max="8931" width="1.7109375" style="53" customWidth="1"/>
    <col min="8932" max="8933" width="4.7109375" style="53" customWidth="1"/>
    <col min="8934" max="8934" width="54.140625" style="53" customWidth="1"/>
    <col min="8935" max="8935" width="52" style="53" customWidth="1"/>
    <col min="8936" max="8936" width="5.28515625" style="53" customWidth="1"/>
    <col min="8937" max="8937" width="5.85546875" style="53" bestFit="1" customWidth="1"/>
    <col min="8938" max="8938" width="16.42578125" style="53" customWidth="1"/>
    <col min="8939" max="8939" width="4.5703125" style="53" customWidth="1"/>
    <col min="8940" max="8940" width="14.140625" style="53" customWidth="1"/>
    <col min="8941" max="8941" width="27.140625" style="53" customWidth="1"/>
    <col min="8942" max="8942" width="16.28515625" style="53" customWidth="1"/>
    <col min="8943" max="8943" width="13.85546875" style="53" customWidth="1"/>
    <col min="8944" max="9186" width="9.140625" style="53"/>
    <col min="9187" max="9187" width="1.7109375" style="53" customWidth="1"/>
    <col min="9188" max="9189" width="4.7109375" style="53" customWidth="1"/>
    <col min="9190" max="9190" width="54.140625" style="53" customWidth="1"/>
    <col min="9191" max="9191" width="52" style="53" customWidth="1"/>
    <col min="9192" max="9192" width="5.28515625" style="53" customWidth="1"/>
    <col min="9193" max="9193" width="5.85546875" style="53" bestFit="1" customWidth="1"/>
    <col min="9194" max="9194" width="16.42578125" style="53" customWidth="1"/>
    <col min="9195" max="9195" width="4.5703125" style="53" customWidth="1"/>
    <col min="9196" max="9196" width="14.140625" style="53" customWidth="1"/>
    <col min="9197" max="9197" width="27.140625" style="53" customWidth="1"/>
    <col min="9198" max="9198" width="16.28515625" style="53" customWidth="1"/>
    <col min="9199" max="9199" width="13.85546875" style="53" customWidth="1"/>
    <col min="9200" max="9442" width="9.140625" style="53"/>
    <col min="9443" max="9443" width="1.7109375" style="53" customWidth="1"/>
    <col min="9444" max="9445" width="4.7109375" style="53" customWidth="1"/>
    <col min="9446" max="9446" width="54.140625" style="53" customWidth="1"/>
    <col min="9447" max="9447" width="52" style="53" customWidth="1"/>
    <col min="9448" max="9448" width="5.28515625" style="53" customWidth="1"/>
    <col min="9449" max="9449" width="5.85546875" style="53" bestFit="1" customWidth="1"/>
    <col min="9450" max="9450" width="16.42578125" style="53" customWidth="1"/>
    <col min="9451" max="9451" width="4.5703125" style="53" customWidth="1"/>
    <col min="9452" max="9452" width="14.140625" style="53" customWidth="1"/>
    <col min="9453" max="9453" width="27.140625" style="53" customWidth="1"/>
    <col min="9454" max="9454" width="16.28515625" style="53" customWidth="1"/>
    <col min="9455" max="9455" width="13.85546875" style="53" customWidth="1"/>
    <col min="9456" max="9698" width="9.140625" style="53"/>
    <col min="9699" max="9699" width="1.7109375" style="53" customWidth="1"/>
    <col min="9700" max="9701" width="4.7109375" style="53" customWidth="1"/>
    <col min="9702" max="9702" width="54.140625" style="53" customWidth="1"/>
    <col min="9703" max="9703" width="52" style="53" customWidth="1"/>
    <col min="9704" max="9704" width="5.28515625" style="53" customWidth="1"/>
    <col min="9705" max="9705" width="5.85546875" style="53" bestFit="1" customWidth="1"/>
    <col min="9706" max="9706" width="16.42578125" style="53" customWidth="1"/>
    <col min="9707" max="9707" width="4.5703125" style="53" customWidth="1"/>
    <col min="9708" max="9708" width="14.140625" style="53" customWidth="1"/>
    <col min="9709" max="9709" width="27.140625" style="53" customWidth="1"/>
    <col min="9710" max="9710" width="16.28515625" style="53" customWidth="1"/>
    <col min="9711" max="9711" width="13.85546875" style="53" customWidth="1"/>
    <col min="9712" max="9954" width="9.140625" style="53"/>
    <col min="9955" max="9955" width="1.7109375" style="53" customWidth="1"/>
    <col min="9956" max="9957" width="4.7109375" style="53" customWidth="1"/>
    <col min="9958" max="9958" width="54.140625" style="53" customWidth="1"/>
    <col min="9959" max="9959" width="52" style="53" customWidth="1"/>
    <col min="9960" max="9960" width="5.28515625" style="53" customWidth="1"/>
    <col min="9961" max="9961" width="5.85546875" style="53" bestFit="1" customWidth="1"/>
    <col min="9962" max="9962" width="16.42578125" style="53" customWidth="1"/>
    <col min="9963" max="9963" width="4.5703125" style="53" customWidth="1"/>
    <col min="9964" max="9964" width="14.140625" style="53" customWidth="1"/>
    <col min="9965" max="9965" width="27.140625" style="53" customWidth="1"/>
    <col min="9966" max="9966" width="16.28515625" style="53" customWidth="1"/>
    <col min="9967" max="9967" width="13.85546875" style="53" customWidth="1"/>
    <col min="9968" max="10210" width="9.140625" style="53"/>
    <col min="10211" max="10211" width="1.7109375" style="53" customWidth="1"/>
    <col min="10212" max="10213" width="4.7109375" style="53" customWidth="1"/>
    <col min="10214" max="10214" width="54.140625" style="53" customWidth="1"/>
    <col min="10215" max="10215" width="52" style="53" customWidth="1"/>
    <col min="10216" max="10216" width="5.28515625" style="53" customWidth="1"/>
    <col min="10217" max="10217" width="5.85546875" style="53" bestFit="1" customWidth="1"/>
    <col min="10218" max="10218" width="16.42578125" style="53" customWidth="1"/>
    <col min="10219" max="10219" width="4.5703125" style="53" customWidth="1"/>
    <col min="10220" max="10220" width="14.140625" style="53" customWidth="1"/>
    <col min="10221" max="10221" width="27.140625" style="53" customWidth="1"/>
    <col min="10222" max="10222" width="16.28515625" style="53" customWidth="1"/>
    <col min="10223" max="10223" width="13.85546875" style="53" customWidth="1"/>
    <col min="10224" max="10466" width="9.140625" style="53"/>
    <col min="10467" max="10467" width="1.7109375" style="53" customWidth="1"/>
    <col min="10468" max="10469" width="4.7109375" style="53" customWidth="1"/>
    <col min="10470" max="10470" width="54.140625" style="53" customWidth="1"/>
    <col min="10471" max="10471" width="52" style="53" customWidth="1"/>
    <col min="10472" max="10472" width="5.28515625" style="53" customWidth="1"/>
    <col min="10473" max="10473" width="5.85546875" style="53" bestFit="1" customWidth="1"/>
    <col min="10474" max="10474" width="16.42578125" style="53" customWidth="1"/>
    <col min="10475" max="10475" width="4.5703125" style="53" customWidth="1"/>
    <col min="10476" max="10476" width="14.140625" style="53" customWidth="1"/>
    <col min="10477" max="10477" width="27.140625" style="53" customWidth="1"/>
    <col min="10478" max="10478" width="16.28515625" style="53" customWidth="1"/>
    <col min="10479" max="10479" width="13.85546875" style="53" customWidth="1"/>
    <col min="10480" max="10722" width="9.140625" style="53"/>
    <col min="10723" max="10723" width="1.7109375" style="53" customWidth="1"/>
    <col min="10724" max="10725" width="4.7109375" style="53" customWidth="1"/>
    <col min="10726" max="10726" width="54.140625" style="53" customWidth="1"/>
    <col min="10727" max="10727" width="52" style="53" customWidth="1"/>
    <col min="10728" max="10728" width="5.28515625" style="53" customWidth="1"/>
    <col min="10729" max="10729" width="5.85546875" style="53" bestFit="1" customWidth="1"/>
    <col min="10730" max="10730" width="16.42578125" style="53" customWidth="1"/>
    <col min="10731" max="10731" width="4.5703125" style="53" customWidth="1"/>
    <col min="10732" max="10732" width="14.140625" style="53" customWidth="1"/>
    <col min="10733" max="10733" width="27.140625" style="53" customWidth="1"/>
    <col min="10734" max="10734" width="16.28515625" style="53" customWidth="1"/>
    <col min="10735" max="10735" width="13.85546875" style="53" customWidth="1"/>
    <col min="10736" max="10978" width="9.140625" style="53"/>
    <col min="10979" max="10979" width="1.7109375" style="53" customWidth="1"/>
    <col min="10980" max="10981" width="4.7109375" style="53" customWidth="1"/>
    <col min="10982" max="10982" width="54.140625" style="53" customWidth="1"/>
    <col min="10983" max="10983" width="52" style="53" customWidth="1"/>
    <col min="10984" max="10984" width="5.28515625" style="53" customWidth="1"/>
    <col min="10985" max="10985" width="5.85546875" style="53" bestFit="1" customWidth="1"/>
    <col min="10986" max="10986" width="16.42578125" style="53" customWidth="1"/>
    <col min="10987" max="10987" width="4.5703125" style="53" customWidth="1"/>
    <col min="10988" max="10988" width="14.140625" style="53" customWidth="1"/>
    <col min="10989" max="10989" width="27.140625" style="53" customWidth="1"/>
    <col min="10990" max="10990" width="16.28515625" style="53" customWidth="1"/>
    <col min="10991" max="10991" width="13.85546875" style="53" customWidth="1"/>
    <col min="10992" max="11234" width="9.140625" style="53"/>
    <col min="11235" max="11235" width="1.7109375" style="53" customWidth="1"/>
    <col min="11236" max="11237" width="4.7109375" style="53" customWidth="1"/>
    <col min="11238" max="11238" width="54.140625" style="53" customWidth="1"/>
    <col min="11239" max="11239" width="52" style="53" customWidth="1"/>
    <col min="11240" max="11240" width="5.28515625" style="53" customWidth="1"/>
    <col min="11241" max="11241" width="5.85546875" style="53" bestFit="1" customWidth="1"/>
    <col min="11242" max="11242" width="16.42578125" style="53" customWidth="1"/>
    <col min="11243" max="11243" width="4.5703125" style="53" customWidth="1"/>
    <col min="11244" max="11244" width="14.140625" style="53" customWidth="1"/>
    <col min="11245" max="11245" width="27.140625" style="53" customWidth="1"/>
    <col min="11246" max="11246" width="16.28515625" style="53" customWidth="1"/>
    <col min="11247" max="11247" width="13.85546875" style="53" customWidth="1"/>
    <col min="11248" max="11490" width="9.140625" style="53"/>
    <col min="11491" max="11491" width="1.7109375" style="53" customWidth="1"/>
    <col min="11492" max="11493" width="4.7109375" style="53" customWidth="1"/>
    <col min="11494" max="11494" width="54.140625" style="53" customWidth="1"/>
    <col min="11495" max="11495" width="52" style="53" customWidth="1"/>
    <col min="11496" max="11496" width="5.28515625" style="53" customWidth="1"/>
    <col min="11497" max="11497" width="5.85546875" style="53" bestFit="1" customWidth="1"/>
    <col min="11498" max="11498" width="16.42578125" style="53" customWidth="1"/>
    <col min="11499" max="11499" width="4.5703125" style="53" customWidth="1"/>
    <col min="11500" max="11500" width="14.140625" style="53" customWidth="1"/>
    <col min="11501" max="11501" width="27.140625" style="53" customWidth="1"/>
    <col min="11502" max="11502" width="16.28515625" style="53" customWidth="1"/>
    <col min="11503" max="11503" width="13.85546875" style="53" customWidth="1"/>
    <col min="11504" max="11746" width="9.140625" style="53"/>
    <col min="11747" max="11747" width="1.7109375" style="53" customWidth="1"/>
    <col min="11748" max="11749" width="4.7109375" style="53" customWidth="1"/>
    <col min="11750" max="11750" width="54.140625" style="53" customWidth="1"/>
    <col min="11751" max="11751" width="52" style="53" customWidth="1"/>
    <col min="11752" max="11752" width="5.28515625" style="53" customWidth="1"/>
    <col min="11753" max="11753" width="5.85546875" style="53" bestFit="1" customWidth="1"/>
    <col min="11754" max="11754" width="16.42578125" style="53" customWidth="1"/>
    <col min="11755" max="11755" width="4.5703125" style="53" customWidth="1"/>
    <col min="11756" max="11756" width="14.140625" style="53" customWidth="1"/>
    <col min="11757" max="11757" width="27.140625" style="53" customWidth="1"/>
    <col min="11758" max="11758" width="16.28515625" style="53" customWidth="1"/>
    <col min="11759" max="11759" width="13.85546875" style="53" customWidth="1"/>
    <col min="11760" max="12002" width="9.140625" style="53"/>
    <col min="12003" max="12003" width="1.7109375" style="53" customWidth="1"/>
    <col min="12004" max="12005" width="4.7109375" style="53" customWidth="1"/>
    <col min="12006" max="12006" width="54.140625" style="53" customWidth="1"/>
    <col min="12007" max="12007" width="52" style="53" customWidth="1"/>
    <col min="12008" max="12008" width="5.28515625" style="53" customWidth="1"/>
    <col min="12009" max="12009" width="5.85546875" style="53" bestFit="1" customWidth="1"/>
    <col min="12010" max="12010" width="16.42578125" style="53" customWidth="1"/>
    <col min="12011" max="12011" width="4.5703125" style="53" customWidth="1"/>
    <col min="12012" max="12012" width="14.140625" style="53" customWidth="1"/>
    <col min="12013" max="12013" width="27.140625" style="53" customWidth="1"/>
    <col min="12014" max="12014" width="16.28515625" style="53" customWidth="1"/>
    <col min="12015" max="12015" width="13.85546875" style="53" customWidth="1"/>
    <col min="12016" max="12258" width="9.140625" style="53"/>
    <col min="12259" max="12259" width="1.7109375" style="53" customWidth="1"/>
    <col min="12260" max="12261" width="4.7109375" style="53" customWidth="1"/>
    <col min="12262" max="12262" width="54.140625" style="53" customWidth="1"/>
    <col min="12263" max="12263" width="52" style="53" customWidth="1"/>
    <col min="12264" max="12264" width="5.28515625" style="53" customWidth="1"/>
    <col min="12265" max="12265" width="5.85546875" style="53" bestFit="1" customWidth="1"/>
    <col min="12266" max="12266" width="16.42578125" style="53" customWidth="1"/>
    <col min="12267" max="12267" width="4.5703125" style="53" customWidth="1"/>
    <col min="12268" max="12268" width="14.140625" style="53" customWidth="1"/>
    <col min="12269" max="12269" width="27.140625" style="53" customWidth="1"/>
    <col min="12270" max="12270" width="16.28515625" style="53" customWidth="1"/>
    <col min="12271" max="12271" width="13.85546875" style="53" customWidth="1"/>
    <col min="12272" max="12514" width="9.140625" style="53"/>
    <col min="12515" max="12515" width="1.7109375" style="53" customWidth="1"/>
    <col min="12516" max="12517" width="4.7109375" style="53" customWidth="1"/>
    <col min="12518" max="12518" width="54.140625" style="53" customWidth="1"/>
    <col min="12519" max="12519" width="52" style="53" customWidth="1"/>
    <col min="12520" max="12520" width="5.28515625" style="53" customWidth="1"/>
    <col min="12521" max="12521" width="5.85546875" style="53" bestFit="1" customWidth="1"/>
    <col min="12522" max="12522" width="16.42578125" style="53" customWidth="1"/>
    <col min="12523" max="12523" width="4.5703125" style="53" customWidth="1"/>
    <col min="12524" max="12524" width="14.140625" style="53" customWidth="1"/>
    <col min="12525" max="12525" width="27.140625" style="53" customWidth="1"/>
    <col min="12526" max="12526" width="16.28515625" style="53" customWidth="1"/>
    <col min="12527" max="12527" width="13.85546875" style="53" customWidth="1"/>
    <col min="12528" max="12770" width="9.140625" style="53"/>
    <col min="12771" max="12771" width="1.7109375" style="53" customWidth="1"/>
    <col min="12772" max="12773" width="4.7109375" style="53" customWidth="1"/>
    <col min="12774" max="12774" width="54.140625" style="53" customWidth="1"/>
    <col min="12775" max="12775" width="52" style="53" customWidth="1"/>
    <col min="12776" max="12776" width="5.28515625" style="53" customWidth="1"/>
    <col min="12777" max="12777" width="5.85546875" style="53" bestFit="1" customWidth="1"/>
    <col min="12778" max="12778" width="16.42578125" style="53" customWidth="1"/>
    <col min="12779" max="12779" width="4.5703125" style="53" customWidth="1"/>
    <col min="12780" max="12780" width="14.140625" style="53" customWidth="1"/>
    <col min="12781" max="12781" width="27.140625" style="53" customWidth="1"/>
    <col min="12782" max="12782" width="16.28515625" style="53" customWidth="1"/>
    <col min="12783" max="12783" width="13.85546875" style="53" customWidth="1"/>
    <col min="12784" max="13026" width="9.140625" style="53"/>
    <col min="13027" max="13027" width="1.7109375" style="53" customWidth="1"/>
    <col min="13028" max="13029" width="4.7109375" style="53" customWidth="1"/>
    <col min="13030" max="13030" width="54.140625" style="53" customWidth="1"/>
    <col min="13031" max="13031" width="52" style="53" customWidth="1"/>
    <col min="13032" max="13032" width="5.28515625" style="53" customWidth="1"/>
    <col min="13033" max="13033" width="5.85546875" style="53" bestFit="1" customWidth="1"/>
    <col min="13034" max="13034" width="16.42578125" style="53" customWidth="1"/>
    <col min="13035" max="13035" width="4.5703125" style="53" customWidth="1"/>
    <col min="13036" max="13036" width="14.140625" style="53" customWidth="1"/>
    <col min="13037" max="13037" width="27.140625" style="53" customWidth="1"/>
    <col min="13038" max="13038" width="16.28515625" style="53" customWidth="1"/>
    <col min="13039" max="13039" width="13.85546875" style="53" customWidth="1"/>
    <col min="13040" max="13282" width="9.140625" style="53"/>
    <col min="13283" max="13283" width="1.7109375" style="53" customWidth="1"/>
    <col min="13284" max="13285" width="4.7109375" style="53" customWidth="1"/>
    <col min="13286" max="13286" width="54.140625" style="53" customWidth="1"/>
    <col min="13287" max="13287" width="52" style="53" customWidth="1"/>
    <col min="13288" max="13288" width="5.28515625" style="53" customWidth="1"/>
    <col min="13289" max="13289" width="5.85546875" style="53" bestFit="1" customWidth="1"/>
    <col min="13290" max="13290" width="16.42578125" style="53" customWidth="1"/>
    <col min="13291" max="13291" width="4.5703125" style="53" customWidth="1"/>
    <col min="13292" max="13292" width="14.140625" style="53" customWidth="1"/>
    <col min="13293" max="13293" width="27.140625" style="53" customWidth="1"/>
    <col min="13294" max="13294" width="16.28515625" style="53" customWidth="1"/>
    <col min="13295" max="13295" width="13.85546875" style="53" customWidth="1"/>
    <col min="13296" max="13538" width="9.140625" style="53"/>
    <col min="13539" max="13539" width="1.7109375" style="53" customWidth="1"/>
    <col min="13540" max="13541" width="4.7109375" style="53" customWidth="1"/>
    <col min="13542" max="13542" width="54.140625" style="53" customWidth="1"/>
    <col min="13543" max="13543" width="52" style="53" customWidth="1"/>
    <col min="13544" max="13544" width="5.28515625" style="53" customWidth="1"/>
    <col min="13545" max="13545" width="5.85546875" style="53" bestFit="1" customWidth="1"/>
    <col min="13546" max="13546" width="16.42578125" style="53" customWidth="1"/>
    <col min="13547" max="13547" width="4.5703125" style="53" customWidth="1"/>
    <col min="13548" max="13548" width="14.140625" style="53" customWidth="1"/>
    <col min="13549" max="13549" width="27.140625" style="53" customWidth="1"/>
    <col min="13550" max="13550" width="16.28515625" style="53" customWidth="1"/>
    <col min="13551" max="13551" width="13.85546875" style="53" customWidth="1"/>
    <col min="13552" max="13794" width="9.140625" style="53"/>
    <col min="13795" max="13795" width="1.7109375" style="53" customWidth="1"/>
    <col min="13796" max="13797" width="4.7109375" style="53" customWidth="1"/>
    <col min="13798" max="13798" width="54.140625" style="53" customWidth="1"/>
    <col min="13799" max="13799" width="52" style="53" customWidth="1"/>
    <col min="13800" max="13800" width="5.28515625" style="53" customWidth="1"/>
    <col min="13801" max="13801" width="5.85546875" style="53" bestFit="1" customWidth="1"/>
    <col min="13802" max="13802" width="16.42578125" style="53" customWidth="1"/>
    <col min="13803" max="13803" width="4.5703125" style="53" customWidth="1"/>
    <col min="13804" max="13804" width="14.140625" style="53" customWidth="1"/>
    <col min="13805" max="13805" width="27.140625" style="53" customWidth="1"/>
    <col min="13806" max="13806" width="16.28515625" style="53" customWidth="1"/>
    <col min="13807" max="13807" width="13.85546875" style="53" customWidth="1"/>
    <col min="13808" max="14050" width="9.140625" style="53"/>
    <col min="14051" max="14051" width="1.7109375" style="53" customWidth="1"/>
    <col min="14052" max="14053" width="4.7109375" style="53" customWidth="1"/>
    <col min="14054" max="14054" width="54.140625" style="53" customWidth="1"/>
    <col min="14055" max="14055" width="52" style="53" customWidth="1"/>
    <col min="14056" max="14056" width="5.28515625" style="53" customWidth="1"/>
    <col min="14057" max="14057" width="5.85546875" style="53" bestFit="1" customWidth="1"/>
    <col min="14058" max="14058" width="16.42578125" style="53" customWidth="1"/>
    <col min="14059" max="14059" width="4.5703125" style="53" customWidth="1"/>
    <col min="14060" max="14060" width="14.140625" style="53" customWidth="1"/>
    <col min="14061" max="14061" width="27.140625" style="53" customWidth="1"/>
    <col min="14062" max="14062" width="16.28515625" style="53" customWidth="1"/>
    <col min="14063" max="14063" width="13.85546875" style="53" customWidth="1"/>
    <col min="14064" max="14306" width="9.140625" style="53"/>
    <col min="14307" max="14307" width="1.7109375" style="53" customWidth="1"/>
    <col min="14308" max="14309" width="4.7109375" style="53" customWidth="1"/>
    <col min="14310" max="14310" width="54.140625" style="53" customWidth="1"/>
    <col min="14311" max="14311" width="52" style="53" customWidth="1"/>
    <col min="14312" max="14312" width="5.28515625" style="53" customWidth="1"/>
    <col min="14313" max="14313" width="5.85546875" style="53" bestFit="1" customWidth="1"/>
    <col min="14314" max="14314" width="16.42578125" style="53" customWidth="1"/>
    <col min="14315" max="14315" width="4.5703125" style="53" customWidth="1"/>
    <col min="14316" max="14316" width="14.140625" style="53" customWidth="1"/>
    <col min="14317" max="14317" width="27.140625" style="53" customWidth="1"/>
    <col min="14318" max="14318" width="16.28515625" style="53" customWidth="1"/>
    <col min="14319" max="14319" width="13.85546875" style="53" customWidth="1"/>
    <col min="14320" max="14562" width="9.140625" style="53"/>
    <col min="14563" max="14563" width="1.7109375" style="53" customWidth="1"/>
    <col min="14564" max="14565" width="4.7109375" style="53" customWidth="1"/>
    <col min="14566" max="14566" width="54.140625" style="53" customWidth="1"/>
    <col min="14567" max="14567" width="52" style="53" customWidth="1"/>
    <col min="14568" max="14568" width="5.28515625" style="53" customWidth="1"/>
    <col min="14569" max="14569" width="5.85546875" style="53" bestFit="1" customWidth="1"/>
    <col min="14570" max="14570" width="16.42578125" style="53" customWidth="1"/>
    <col min="14571" max="14571" width="4.5703125" style="53" customWidth="1"/>
    <col min="14572" max="14572" width="14.140625" style="53" customWidth="1"/>
    <col min="14573" max="14573" width="27.140625" style="53" customWidth="1"/>
    <col min="14574" max="14574" width="16.28515625" style="53" customWidth="1"/>
    <col min="14575" max="14575" width="13.85546875" style="53" customWidth="1"/>
    <col min="14576" max="14818" width="9.140625" style="53"/>
    <col min="14819" max="14819" width="1.7109375" style="53" customWidth="1"/>
    <col min="14820" max="14821" width="4.7109375" style="53" customWidth="1"/>
    <col min="14822" max="14822" width="54.140625" style="53" customWidth="1"/>
    <col min="14823" max="14823" width="52" style="53" customWidth="1"/>
    <col min="14824" max="14824" width="5.28515625" style="53" customWidth="1"/>
    <col min="14825" max="14825" width="5.85546875" style="53" bestFit="1" customWidth="1"/>
    <col min="14826" max="14826" width="16.42578125" style="53" customWidth="1"/>
    <col min="14827" max="14827" width="4.5703125" style="53" customWidth="1"/>
    <col min="14828" max="14828" width="14.140625" style="53" customWidth="1"/>
    <col min="14829" max="14829" width="27.140625" style="53" customWidth="1"/>
    <col min="14830" max="14830" width="16.28515625" style="53" customWidth="1"/>
    <col min="14831" max="14831" width="13.85546875" style="53" customWidth="1"/>
    <col min="14832" max="15074" width="9.140625" style="53"/>
    <col min="15075" max="15075" width="1.7109375" style="53" customWidth="1"/>
    <col min="15076" max="15077" width="4.7109375" style="53" customWidth="1"/>
    <col min="15078" max="15078" width="54.140625" style="53" customWidth="1"/>
    <col min="15079" max="15079" width="52" style="53" customWidth="1"/>
    <col min="15080" max="15080" width="5.28515625" style="53" customWidth="1"/>
    <col min="15081" max="15081" width="5.85546875" style="53" bestFit="1" customWidth="1"/>
    <col min="15082" max="15082" width="16.42578125" style="53" customWidth="1"/>
    <col min="15083" max="15083" width="4.5703125" style="53" customWidth="1"/>
    <col min="15084" max="15084" width="14.140625" style="53" customWidth="1"/>
    <col min="15085" max="15085" width="27.140625" style="53" customWidth="1"/>
    <col min="15086" max="15086" width="16.28515625" style="53" customWidth="1"/>
    <col min="15087" max="15087" width="13.85546875" style="53" customWidth="1"/>
    <col min="15088" max="15330" width="9.140625" style="53"/>
    <col min="15331" max="15331" width="1.7109375" style="53" customWidth="1"/>
    <col min="15332" max="15333" width="4.7109375" style="53" customWidth="1"/>
    <col min="15334" max="15334" width="54.140625" style="53" customWidth="1"/>
    <col min="15335" max="15335" width="52" style="53" customWidth="1"/>
    <col min="15336" max="15336" width="5.28515625" style="53" customWidth="1"/>
    <col min="15337" max="15337" width="5.85546875" style="53" bestFit="1" customWidth="1"/>
    <col min="15338" max="15338" width="16.42578125" style="53" customWidth="1"/>
    <col min="15339" max="15339" width="4.5703125" style="53" customWidth="1"/>
    <col min="15340" max="15340" width="14.140625" style="53" customWidth="1"/>
    <col min="15341" max="15341" width="27.140625" style="53" customWidth="1"/>
    <col min="15342" max="15342" width="16.28515625" style="53" customWidth="1"/>
    <col min="15343" max="15343" width="13.85546875" style="53" customWidth="1"/>
    <col min="15344" max="15586" width="9.140625" style="53"/>
    <col min="15587" max="15587" width="1.7109375" style="53" customWidth="1"/>
    <col min="15588" max="15589" width="4.7109375" style="53" customWidth="1"/>
    <col min="15590" max="15590" width="54.140625" style="53" customWidth="1"/>
    <col min="15591" max="15591" width="52" style="53" customWidth="1"/>
    <col min="15592" max="15592" width="5.28515625" style="53" customWidth="1"/>
    <col min="15593" max="15593" width="5.85546875" style="53" bestFit="1" customWidth="1"/>
    <col min="15594" max="15594" width="16.42578125" style="53" customWidth="1"/>
    <col min="15595" max="15595" width="4.5703125" style="53" customWidth="1"/>
    <col min="15596" max="15596" width="14.140625" style="53" customWidth="1"/>
    <col min="15597" max="15597" width="27.140625" style="53" customWidth="1"/>
    <col min="15598" max="15598" width="16.28515625" style="53" customWidth="1"/>
    <col min="15599" max="15599" width="13.85546875" style="53" customWidth="1"/>
    <col min="15600" max="15842" width="9.140625" style="53"/>
    <col min="15843" max="15843" width="1.7109375" style="53" customWidth="1"/>
    <col min="15844" max="15845" width="4.7109375" style="53" customWidth="1"/>
    <col min="15846" max="15846" width="54.140625" style="53" customWidth="1"/>
    <col min="15847" max="15847" width="52" style="53" customWidth="1"/>
    <col min="15848" max="15848" width="5.28515625" style="53" customWidth="1"/>
    <col min="15849" max="15849" width="5.85546875" style="53" bestFit="1" customWidth="1"/>
    <col min="15850" max="15850" width="16.42578125" style="53" customWidth="1"/>
    <col min="15851" max="15851" width="4.5703125" style="53" customWidth="1"/>
    <col min="15852" max="15852" width="14.140625" style="53" customWidth="1"/>
    <col min="15853" max="15853" width="27.140625" style="53" customWidth="1"/>
    <col min="15854" max="15854" width="16.28515625" style="53" customWidth="1"/>
    <col min="15855" max="15855" width="13.85546875" style="53" customWidth="1"/>
    <col min="15856" max="16098" width="9.140625" style="53"/>
    <col min="16099" max="16099" width="1.7109375" style="53" customWidth="1"/>
    <col min="16100" max="16101" width="4.7109375" style="53" customWidth="1"/>
    <col min="16102" max="16102" width="54.140625" style="53" customWidth="1"/>
    <col min="16103" max="16103" width="52" style="53" customWidth="1"/>
    <col min="16104" max="16104" width="5.28515625" style="53" customWidth="1"/>
    <col min="16105" max="16105" width="5.85546875" style="53" bestFit="1" customWidth="1"/>
    <col min="16106" max="16106" width="16.42578125" style="53" customWidth="1"/>
    <col min="16107" max="16107" width="4.5703125" style="53" customWidth="1"/>
    <col min="16108" max="16108" width="14.140625" style="53" customWidth="1"/>
    <col min="16109" max="16109" width="27.140625" style="53" customWidth="1"/>
    <col min="16110" max="16110" width="16.28515625" style="53" customWidth="1"/>
    <col min="16111" max="16111" width="13.85546875" style="53" customWidth="1"/>
    <col min="16112" max="16384" width="9.140625" style="53"/>
  </cols>
  <sheetData>
    <row r="1" spans="2:13" ht="15" customHeight="1" x14ac:dyDescent="0.25"/>
    <row r="2" spans="2:13" s="5" customFormat="1" ht="15.75" hidden="1" x14ac:dyDescent="0.25">
      <c r="B2" s="1133"/>
      <c r="C2" s="1645" t="s">
        <v>431</v>
      </c>
      <c r="D2" s="1645"/>
      <c r="E2" s="1645"/>
      <c r="F2" s="1645"/>
      <c r="G2" s="1645"/>
      <c r="H2" s="1645"/>
      <c r="I2" s="1645"/>
      <c r="J2" s="1130"/>
      <c r="K2" s="451"/>
    </row>
    <row r="3" spans="2:13" s="5" customFormat="1" ht="13.5" customHeight="1" x14ac:dyDescent="0.25">
      <c r="B3" s="1133"/>
      <c r="C3" s="1646" t="s">
        <v>532</v>
      </c>
      <c r="D3" s="1646"/>
      <c r="E3" s="1646"/>
      <c r="F3" s="1646"/>
      <c r="G3" s="1646"/>
      <c r="H3" s="1646"/>
      <c r="I3" s="1646"/>
      <c r="J3" s="1646"/>
      <c r="K3" s="1646"/>
    </row>
    <row r="4" spans="2:13" s="4" customFormat="1" ht="14.25" customHeight="1" x14ac:dyDescent="0.25">
      <c r="B4" s="1133"/>
      <c r="C4" s="1646" t="s">
        <v>1</v>
      </c>
      <c r="D4" s="1646"/>
      <c r="E4" s="1646"/>
      <c r="F4" s="1646"/>
      <c r="G4" s="1646"/>
      <c r="H4" s="1646"/>
      <c r="I4" s="1646"/>
      <c r="J4" s="1646"/>
      <c r="K4" s="1646"/>
    </row>
    <row r="5" spans="2:13" s="4" customFormat="1" ht="15.75" x14ac:dyDescent="0.25">
      <c r="B5" s="1133"/>
      <c r="C5" s="452"/>
      <c r="D5" s="453"/>
      <c r="E5" s="454"/>
      <c r="F5" s="455"/>
      <c r="G5" s="457"/>
      <c r="H5" s="457"/>
      <c r="I5" s="457"/>
      <c r="J5" s="457"/>
      <c r="K5" s="458"/>
    </row>
    <row r="6" spans="2:13" s="4" customFormat="1" ht="18" customHeight="1" x14ac:dyDescent="0.25">
      <c r="B6" s="1133"/>
      <c r="C6" s="1131" t="s">
        <v>2</v>
      </c>
      <c r="D6" s="1505" t="s">
        <v>526</v>
      </c>
      <c r="E6" s="1505"/>
      <c r="F6" s="459"/>
      <c r="G6" s="457"/>
      <c r="H6" s="457"/>
      <c r="I6" s="457"/>
      <c r="J6" s="457"/>
      <c r="K6" s="458"/>
    </row>
    <row r="7" spans="2:13" s="4" customFormat="1" ht="3" customHeight="1" thickBot="1" x14ac:dyDescent="0.3">
      <c r="B7" s="1742"/>
      <c r="C7" s="6"/>
      <c r="D7" s="8"/>
      <c r="E7" s="9"/>
      <c r="F7" s="10"/>
      <c r="G7" s="12"/>
      <c r="H7" s="12"/>
      <c r="I7" s="12"/>
      <c r="J7" s="12"/>
      <c r="K7" s="1756"/>
    </row>
    <row r="8" spans="2:13" s="15" customFormat="1" ht="32.25" customHeight="1" thickTop="1" x14ac:dyDescent="0.25">
      <c r="B8" s="1742"/>
      <c r="C8" s="1757" t="s">
        <v>496</v>
      </c>
      <c r="D8" s="1759" t="s">
        <v>418</v>
      </c>
      <c r="E8" s="1760"/>
      <c r="F8" s="1763" t="s">
        <v>417</v>
      </c>
      <c r="G8" s="1765" t="s">
        <v>530</v>
      </c>
      <c r="H8" s="1765" t="s">
        <v>531</v>
      </c>
      <c r="I8" s="1765" t="s">
        <v>501</v>
      </c>
      <c r="J8" s="1767" t="s">
        <v>469</v>
      </c>
      <c r="K8" s="1756"/>
    </row>
    <row r="9" spans="2:13" s="15" customFormat="1" x14ac:dyDescent="0.25">
      <c r="B9" s="1742"/>
      <c r="C9" s="1758"/>
      <c r="D9" s="1761"/>
      <c r="E9" s="1762"/>
      <c r="F9" s="1764"/>
      <c r="G9" s="1766"/>
      <c r="H9" s="1766"/>
      <c r="I9" s="1766"/>
      <c r="J9" s="1768"/>
      <c r="K9" s="1756"/>
    </row>
    <row r="10" spans="2:13" s="29" customFormat="1" ht="24" customHeight="1" x14ac:dyDescent="0.25">
      <c r="B10" s="1742"/>
      <c r="C10" s="1743" t="s">
        <v>4</v>
      </c>
      <c r="D10" s="1637"/>
      <c r="E10" s="1636"/>
      <c r="F10" s="23"/>
      <c r="G10" s="608">
        <f>SUM(G18:G29)</f>
        <v>31636082971</v>
      </c>
      <c r="H10" s="608">
        <f>SUM(H18:H29)</f>
        <v>40136082971</v>
      </c>
      <c r="I10" s="1111">
        <f>SUM(I11:I29)</f>
        <v>21500000000</v>
      </c>
      <c r="J10" s="854"/>
      <c r="K10" s="1756"/>
      <c r="M10" s="396">
        <v>-37348487571</v>
      </c>
    </row>
    <row r="11" spans="2:13" s="62" customFormat="1" ht="21.75" customHeight="1" x14ac:dyDescent="0.25">
      <c r="B11" s="1742"/>
      <c r="C11" s="49" t="s">
        <v>5</v>
      </c>
      <c r="D11" s="1714" t="s">
        <v>229</v>
      </c>
      <c r="E11" s="1715"/>
      <c r="F11" s="760" t="s">
        <v>230</v>
      </c>
      <c r="G11" s="647">
        <v>1700000000</v>
      </c>
      <c r="H11" s="647">
        <v>0</v>
      </c>
      <c r="I11" s="647">
        <f t="shared" ref="I11:I20" si="0">H11-G11</f>
        <v>-1700000000</v>
      </c>
      <c r="J11" s="1112" t="s">
        <v>527</v>
      </c>
      <c r="K11" s="1756"/>
    </row>
    <row r="12" spans="2:13" s="62" customFormat="1" ht="19.5" customHeight="1" x14ac:dyDescent="0.25">
      <c r="B12" s="1742"/>
      <c r="C12" s="49" t="s">
        <v>10</v>
      </c>
      <c r="D12" s="1716" t="s">
        <v>220</v>
      </c>
      <c r="E12" s="1717"/>
      <c r="F12" s="763" t="s">
        <v>221</v>
      </c>
      <c r="G12" s="643">
        <v>1500000000</v>
      </c>
      <c r="H12" s="643">
        <v>0</v>
      </c>
      <c r="I12" s="643">
        <f t="shared" si="0"/>
        <v>-1500000000</v>
      </c>
      <c r="J12" s="1112" t="s">
        <v>527</v>
      </c>
      <c r="K12" s="1756"/>
    </row>
    <row r="13" spans="2:13" s="62" customFormat="1" ht="20.25" customHeight="1" x14ac:dyDescent="0.25">
      <c r="B13" s="1742"/>
      <c r="C13" s="49" t="s">
        <v>13</v>
      </c>
      <c r="D13" s="1738" t="s">
        <v>69</v>
      </c>
      <c r="E13" s="1739"/>
      <c r="F13" s="469" t="s">
        <v>137</v>
      </c>
      <c r="G13" s="626">
        <v>300000000</v>
      </c>
      <c r="H13" s="626">
        <v>250000000</v>
      </c>
      <c r="I13" s="626">
        <f t="shared" si="0"/>
        <v>-50000000</v>
      </c>
      <c r="J13" s="117" t="s">
        <v>527</v>
      </c>
      <c r="K13" s="1756"/>
    </row>
    <row r="14" spans="2:13" s="62" customFormat="1" ht="21" customHeight="1" x14ac:dyDescent="0.25">
      <c r="B14" s="1742"/>
      <c r="C14" s="39" t="s">
        <v>16</v>
      </c>
      <c r="D14" s="1738" t="s">
        <v>78</v>
      </c>
      <c r="E14" s="1739"/>
      <c r="F14" s="469" t="s">
        <v>137</v>
      </c>
      <c r="G14" s="626">
        <v>750000000</v>
      </c>
      <c r="H14" s="626">
        <v>800000000</v>
      </c>
      <c r="I14" s="626">
        <f t="shared" si="0"/>
        <v>50000000</v>
      </c>
      <c r="J14" s="117" t="s">
        <v>527</v>
      </c>
      <c r="K14" s="1756"/>
    </row>
    <row r="15" spans="2:13" s="113" customFormat="1" ht="17.25" customHeight="1" x14ac:dyDescent="0.25">
      <c r="B15" s="1742"/>
      <c r="C15" s="39" t="s">
        <v>19</v>
      </c>
      <c r="D15" s="1582" t="s">
        <v>80</v>
      </c>
      <c r="E15" s="1583"/>
      <c r="F15" s="469" t="s">
        <v>137</v>
      </c>
      <c r="G15" s="626">
        <v>850000000</v>
      </c>
      <c r="H15" s="626">
        <v>1350000000</v>
      </c>
      <c r="I15" s="626">
        <f t="shared" si="0"/>
        <v>500000000</v>
      </c>
      <c r="J15" s="117" t="s">
        <v>528</v>
      </c>
      <c r="K15" s="1756"/>
    </row>
    <row r="16" spans="2:13" s="62" customFormat="1" ht="25.5" customHeight="1" x14ac:dyDescent="0.25">
      <c r="B16" s="1742"/>
      <c r="C16" s="39" t="s">
        <v>27</v>
      </c>
      <c r="D16" s="1582" t="s">
        <v>136</v>
      </c>
      <c r="E16" s="1583"/>
      <c r="F16" s="469" t="s">
        <v>137</v>
      </c>
      <c r="G16" s="626">
        <v>26300000000</v>
      </c>
      <c r="H16" s="626">
        <v>36000000000</v>
      </c>
      <c r="I16" s="626">
        <f t="shared" si="0"/>
        <v>9700000000</v>
      </c>
      <c r="J16" s="117" t="s">
        <v>529</v>
      </c>
      <c r="K16" s="1756"/>
    </row>
    <row r="17" spans="2:11" s="29" customFormat="1" ht="25.5" customHeight="1" x14ac:dyDescent="0.25">
      <c r="B17" s="1742"/>
      <c r="C17" s="39" t="s">
        <v>30</v>
      </c>
      <c r="D17" s="1582" t="s">
        <v>145</v>
      </c>
      <c r="E17" s="1583"/>
      <c r="F17" s="1132" t="s">
        <v>146</v>
      </c>
      <c r="G17" s="625">
        <v>21200000000</v>
      </c>
      <c r="H17" s="625">
        <v>27200000000</v>
      </c>
      <c r="I17" s="625">
        <f t="shared" si="0"/>
        <v>6000000000</v>
      </c>
      <c r="J17" s="117" t="s">
        <v>529</v>
      </c>
      <c r="K17" s="1756"/>
    </row>
    <row r="18" spans="2:11" s="62" customFormat="1" ht="17.25" customHeight="1" x14ac:dyDescent="0.25">
      <c r="B18" s="1742"/>
      <c r="C18" s="49" t="s">
        <v>8</v>
      </c>
      <c r="D18" s="1582" t="s">
        <v>167</v>
      </c>
      <c r="E18" s="1583"/>
      <c r="F18" s="469" t="s">
        <v>168</v>
      </c>
      <c r="G18" s="630">
        <v>11065000000</v>
      </c>
      <c r="H18" s="630">
        <v>12565000000</v>
      </c>
      <c r="I18" s="630">
        <f t="shared" si="0"/>
        <v>1500000000</v>
      </c>
      <c r="J18" s="1112" t="s">
        <v>527</v>
      </c>
      <c r="K18" s="1756"/>
    </row>
    <row r="19" spans="2:11" s="113" customFormat="1" ht="18" customHeight="1" x14ac:dyDescent="0.25">
      <c r="B19" s="1742"/>
      <c r="C19" s="39" t="s">
        <v>22</v>
      </c>
      <c r="D19" s="1744" t="s">
        <v>172</v>
      </c>
      <c r="E19" s="1745"/>
      <c r="F19" s="760" t="s">
        <v>230</v>
      </c>
      <c r="G19" s="643">
        <v>3000000000</v>
      </c>
      <c r="H19" s="643">
        <v>9000000000</v>
      </c>
      <c r="I19" s="896">
        <f t="shared" si="0"/>
        <v>6000000000</v>
      </c>
      <c r="J19" s="117" t="s">
        <v>528</v>
      </c>
      <c r="K19" s="1756"/>
    </row>
    <row r="20" spans="2:11" s="29" customFormat="1" ht="18" customHeight="1" x14ac:dyDescent="0.25">
      <c r="B20" s="1742"/>
      <c r="C20" s="771" t="s">
        <v>210</v>
      </c>
      <c r="D20" s="1563" t="s">
        <v>227</v>
      </c>
      <c r="E20" s="1564"/>
      <c r="F20" s="74" t="s">
        <v>464</v>
      </c>
      <c r="G20" s="659">
        <v>11000000000</v>
      </c>
      <c r="H20" s="659">
        <v>12000000000</v>
      </c>
      <c r="I20" s="659">
        <f t="shared" si="0"/>
        <v>1000000000</v>
      </c>
      <c r="J20" s="1112" t="s">
        <v>527</v>
      </c>
      <c r="K20" s="1756"/>
    </row>
    <row r="21" spans="2:11" s="29" customFormat="1" ht="18" customHeight="1" x14ac:dyDescent="0.25">
      <c r="B21" s="1742"/>
      <c r="C21" s="771" t="s">
        <v>439</v>
      </c>
      <c r="D21" s="1563" t="s">
        <v>265</v>
      </c>
      <c r="E21" s="1564"/>
      <c r="F21" s="74" t="s">
        <v>464</v>
      </c>
      <c r="G21" s="659">
        <v>1000000000</v>
      </c>
      <c r="H21" s="659">
        <v>500000000</v>
      </c>
      <c r="I21" s="659">
        <f t="shared" ref="I21" si="1">H21-G21</f>
        <v>-500000000</v>
      </c>
      <c r="J21" s="1112" t="s">
        <v>527</v>
      </c>
      <c r="K21" s="1756"/>
    </row>
    <row r="22" spans="2:11" s="29" customFormat="1" ht="17.25" customHeight="1" x14ac:dyDescent="0.25">
      <c r="B22" s="1742"/>
      <c r="C22" s="771" t="s">
        <v>440</v>
      </c>
      <c r="D22" s="1618" t="s">
        <v>270</v>
      </c>
      <c r="E22" s="1620"/>
      <c r="F22" s="855" t="s">
        <v>271</v>
      </c>
      <c r="G22" s="660">
        <v>1045000000</v>
      </c>
      <c r="H22" s="660">
        <v>1545000000</v>
      </c>
      <c r="I22" s="660">
        <f t="shared" ref="I22:I27" si="2">H22-G22</f>
        <v>500000000</v>
      </c>
      <c r="J22" s="1113" t="s">
        <v>527</v>
      </c>
      <c r="K22" s="1756"/>
    </row>
    <row r="23" spans="2:11" s="62" customFormat="1" ht="18" customHeight="1" x14ac:dyDescent="0.25">
      <c r="B23" s="1742"/>
      <c r="C23" s="771" t="s">
        <v>441</v>
      </c>
      <c r="D23" s="1563" t="s">
        <v>308</v>
      </c>
      <c r="E23" s="1564"/>
      <c r="F23" s="767" t="s">
        <v>309</v>
      </c>
      <c r="G23" s="617">
        <v>2126082971</v>
      </c>
      <c r="H23" s="617">
        <v>600000000</v>
      </c>
      <c r="I23" s="617">
        <f t="shared" si="2"/>
        <v>-1526082971</v>
      </c>
      <c r="J23" s="1114" t="s">
        <v>527</v>
      </c>
      <c r="K23" s="1756"/>
    </row>
    <row r="24" spans="2:11" s="29" customFormat="1" ht="18" customHeight="1" x14ac:dyDescent="0.25">
      <c r="B24" s="1742"/>
      <c r="C24" s="39" t="s">
        <v>442</v>
      </c>
      <c r="D24" s="1712" t="s">
        <v>317</v>
      </c>
      <c r="E24" s="1713"/>
      <c r="F24" s="772" t="s">
        <v>318</v>
      </c>
      <c r="G24" s="774">
        <v>100000000</v>
      </c>
      <c r="H24" s="774">
        <v>300000000</v>
      </c>
      <c r="I24" s="774">
        <f t="shared" si="2"/>
        <v>200000000</v>
      </c>
      <c r="J24" s="1115" t="s">
        <v>527</v>
      </c>
      <c r="K24" s="1756"/>
    </row>
    <row r="25" spans="2:11" s="343" customFormat="1" ht="16.5" customHeight="1" x14ac:dyDescent="0.25">
      <c r="B25" s="1742"/>
      <c r="C25" s="771" t="s">
        <v>443</v>
      </c>
      <c r="D25" s="1582" t="s">
        <v>320</v>
      </c>
      <c r="E25" s="1583"/>
      <c r="F25" s="772" t="s">
        <v>321</v>
      </c>
      <c r="G25" s="774">
        <v>200000000</v>
      </c>
      <c r="H25" s="774">
        <v>600000000</v>
      </c>
      <c r="I25" s="774">
        <f t="shared" si="2"/>
        <v>400000000</v>
      </c>
      <c r="J25" s="1116" t="s">
        <v>527</v>
      </c>
      <c r="K25" s="1756"/>
    </row>
    <row r="26" spans="2:11" s="29" customFormat="1" ht="27.75" customHeight="1" x14ac:dyDescent="0.25">
      <c r="B26" s="1742"/>
      <c r="C26" s="771" t="s">
        <v>444</v>
      </c>
      <c r="D26" s="1712" t="s">
        <v>322</v>
      </c>
      <c r="E26" s="1713"/>
      <c r="F26" s="772" t="s">
        <v>323</v>
      </c>
      <c r="G26" s="774">
        <v>100000000</v>
      </c>
      <c r="H26" s="774">
        <v>250000000</v>
      </c>
      <c r="I26" s="774">
        <f t="shared" si="2"/>
        <v>150000000</v>
      </c>
      <c r="J26" s="1117" t="s">
        <v>527</v>
      </c>
      <c r="K26" s="1756"/>
    </row>
    <row r="27" spans="2:11" s="29" customFormat="1" ht="18.75" customHeight="1" x14ac:dyDescent="0.25">
      <c r="B27" s="1742"/>
      <c r="C27" s="771" t="s">
        <v>445</v>
      </c>
      <c r="D27" s="1582" t="s">
        <v>335</v>
      </c>
      <c r="E27" s="1583"/>
      <c r="F27" s="856" t="s">
        <v>336</v>
      </c>
      <c r="G27" s="663">
        <v>2000000000</v>
      </c>
      <c r="H27" s="663">
        <v>2776082971</v>
      </c>
      <c r="I27" s="663">
        <f t="shared" si="2"/>
        <v>776082971</v>
      </c>
      <c r="J27" s="1117" t="s">
        <v>527</v>
      </c>
      <c r="K27" s="1756"/>
    </row>
    <row r="28" spans="2:11" s="62" customFormat="1" ht="25.5" hidden="1" customHeight="1" x14ac:dyDescent="0.25">
      <c r="B28" s="1742"/>
      <c r="C28" s="771" t="s">
        <v>446</v>
      </c>
      <c r="D28" s="1582"/>
      <c r="E28" s="1583"/>
      <c r="F28" s="856"/>
      <c r="G28" s="663"/>
      <c r="H28" s="663"/>
      <c r="I28" s="663"/>
      <c r="J28" s="1117"/>
      <c r="K28" s="1756"/>
    </row>
    <row r="29" spans="2:11" s="29" customFormat="1" ht="21" hidden="1" customHeight="1" x14ac:dyDescent="0.25">
      <c r="B29" s="1742"/>
      <c r="C29" s="39" t="s">
        <v>447</v>
      </c>
      <c r="D29" s="1582"/>
      <c r="E29" s="1583"/>
      <c r="F29" s="856"/>
      <c r="G29" s="663"/>
      <c r="H29" s="663"/>
      <c r="I29" s="663"/>
      <c r="J29" s="1117"/>
      <c r="K29" s="1756"/>
    </row>
    <row r="30" spans="2:11" ht="2.25" customHeight="1" thickBot="1" x14ac:dyDescent="0.3">
      <c r="B30" s="1742"/>
      <c r="C30" s="420"/>
      <c r="D30" s="422"/>
      <c r="E30" s="423"/>
      <c r="F30" s="424"/>
      <c r="G30" s="672"/>
      <c r="H30" s="672"/>
      <c r="I30" s="672"/>
      <c r="J30" s="426"/>
      <c r="K30" s="1756"/>
    </row>
    <row r="31" spans="2:11" ht="3" customHeight="1" thickTop="1" x14ac:dyDescent="0.25">
      <c r="B31" s="1742"/>
      <c r="K31" s="1756"/>
    </row>
  </sheetData>
  <mergeCells count="33">
    <mergeCell ref="D25:E25"/>
    <mergeCell ref="D26:E26"/>
    <mergeCell ref="D27:E27"/>
    <mergeCell ref="D28:E28"/>
    <mergeCell ref="D29:E29"/>
    <mergeCell ref="D18:E18"/>
    <mergeCell ref="D19:E19"/>
    <mergeCell ref="D21:E21"/>
    <mergeCell ref="D22:E22"/>
    <mergeCell ref="D23:E23"/>
    <mergeCell ref="C2:I2"/>
    <mergeCell ref="C3:K3"/>
    <mergeCell ref="C4:K4"/>
    <mergeCell ref="D6:E6"/>
    <mergeCell ref="H8:H9"/>
    <mergeCell ref="I8:I9"/>
    <mergeCell ref="J8:J9"/>
    <mergeCell ref="B7:B31"/>
    <mergeCell ref="K7:K31"/>
    <mergeCell ref="C8:C9"/>
    <mergeCell ref="D8:E9"/>
    <mergeCell ref="F8:F9"/>
    <mergeCell ref="G8:G9"/>
    <mergeCell ref="D20:E20"/>
    <mergeCell ref="D12:E12"/>
    <mergeCell ref="C10:E10"/>
    <mergeCell ref="D11:E11"/>
    <mergeCell ref="D24:E24"/>
    <mergeCell ref="D13:E13"/>
    <mergeCell ref="D14:E14"/>
    <mergeCell ref="D15:E15"/>
    <mergeCell ref="D16:E16"/>
    <mergeCell ref="D17:E17"/>
  </mergeCells>
  <printOptions horizontalCentered="1"/>
  <pageMargins left="0.43307086614173229" right="0.43307086614173229" top="0.59055118110236227" bottom="0.39370078740157483" header="0" footer="0"/>
  <pageSetup paperSize="200" orientation="landscape" useFirstPageNumber="1" r:id="rId1"/>
  <headerFooter>
    <oddFooter>&amp;L&amp;"Cambria,Italic"&amp;7&amp;K05-049&amp;F / &amp;A&amp;C&amp;"Cambria,Italic"&amp;7&amp;K04-021Hal &amp;P dari &amp;N&amp;R&amp;"-,Italic"&amp;7&amp;K09-022&amp;D /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M112"/>
  <sheetViews>
    <sheetView topLeftCell="A75" zoomScale="85" zoomScaleNormal="85" zoomScaleSheetLayoutView="130" workbookViewId="0">
      <selection activeCell="H38" sqref="H38"/>
    </sheetView>
  </sheetViews>
  <sheetFormatPr defaultRowHeight="12.75" x14ac:dyDescent="0.25"/>
  <cols>
    <col min="1" max="1" width="9" style="53" customWidth="1"/>
    <col min="2" max="2" width="0.5703125" style="13" customWidth="1"/>
    <col min="3" max="3" width="6.28515625" style="427" customWidth="1"/>
    <col min="4" max="4" width="2.7109375" style="428" customWidth="1"/>
    <col min="5" max="5" width="57.7109375" style="429" customWidth="1"/>
    <col min="6" max="6" width="52" style="430" hidden="1" customWidth="1"/>
    <col min="7" max="7" width="18.42578125" style="432" customWidth="1"/>
    <col min="8" max="8" width="18.5703125" style="432" customWidth="1"/>
    <col min="9" max="9" width="19" style="432" customWidth="1"/>
    <col min="10" max="10" width="64.140625" style="432" customWidth="1"/>
    <col min="11" max="11" width="0.7109375" style="291" customWidth="1"/>
    <col min="12" max="12" width="10.5703125" style="53" customWidth="1"/>
    <col min="13" max="13" width="15.42578125" style="53" customWidth="1"/>
    <col min="14" max="20" width="10.5703125" style="53" customWidth="1"/>
    <col min="21" max="226" width="9.140625" style="53"/>
    <col min="227" max="227" width="1.7109375" style="53" customWidth="1"/>
    <col min="228" max="229" width="4.7109375" style="53" customWidth="1"/>
    <col min="230" max="230" width="54.140625" style="53" customWidth="1"/>
    <col min="231" max="231" width="52" style="53" customWidth="1"/>
    <col min="232" max="232" width="5.28515625" style="53" customWidth="1"/>
    <col min="233" max="233" width="5.85546875" style="53" bestFit="1" customWidth="1"/>
    <col min="234" max="234" width="16.42578125" style="53" customWidth="1"/>
    <col min="235" max="235" width="4.5703125" style="53" customWidth="1"/>
    <col min="236" max="236" width="14.140625" style="53" customWidth="1"/>
    <col min="237" max="237" width="27.140625" style="53" customWidth="1"/>
    <col min="238" max="238" width="16.28515625" style="53" customWidth="1"/>
    <col min="239" max="239" width="13.85546875" style="53" customWidth="1"/>
    <col min="240" max="482" width="9.140625" style="53"/>
    <col min="483" max="483" width="1.7109375" style="53" customWidth="1"/>
    <col min="484" max="485" width="4.7109375" style="53" customWidth="1"/>
    <col min="486" max="486" width="54.140625" style="53" customWidth="1"/>
    <col min="487" max="487" width="52" style="53" customWidth="1"/>
    <col min="488" max="488" width="5.28515625" style="53" customWidth="1"/>
    <col min="489" max="489" width="5.85546875" style="53" bestFit="1" customWidth="1"/>
    <col min="490" max="490" width="16.42578125" style="53" customWidth="1"/>
    <col min="491" max="491" width="4.5703125" style="53" customWidth="1"/>
    <col min="492" max="492" width="14.140625" style="53" customWidth="1"/>
    <col min="493" max="493" width="27.140625" style="53" customWidth="1"/>
    <col min="494" max="494" width="16.28515625" style="53" customWidth="1"/>
    <col min="495" max="495" width="13.85546875" style="53" customWidth="1"/>
    <col min="496" max="738" width="9.140625" style="53"/>
    <col min="739" max="739" width="1.7109375" style="53" customWidth="1"/>
    <col min="740" max="741" width="4.7109375" style="53" customWidth="1"/>
    <col min="742" max="742" width="54.140625" style="53" customWidth="1"/>
    <col min="743" max="743" width="52" style="53" customWidth="1"/>
    <col min="744" max="744" width="5.28515625" style="53" customWidth="1"/>
    <col min="745" max="745" width="5.85546875" style="53" bestFit="1" customWidth="1"/>
    <col min="746" max="746" width="16.42578125" style="53" customWidth="1"/>
    <col min="747" max="747" width="4.5703125" style="53" customWidth="1"/>
    <col min="748" max="748" width="14.140625" style="53" customWidth="1"/>
    <col min="749" max="749" width="27.140625" style="53" customWidth="1"/>
    <col min="750" max="750" width="16.28515625" style="53" customWidth="1"/>
    <col min="751" max="751" width="13.85546875" style="53" customWidth="1"/>
    <col min="752" max="994" width="9.140625" style="53"/>
    <col min="995" max="995" width="1.7109375" style="53" customWidth="1"/>
    <col min="996" max="997" width="4.7109375" style="53" customWidth="1"/>
    <col min="998" max="998" width="54.140625" style="53" customWidth="1"/>
    <col min="999" max="999" width="52" style="53" customWidth="1"/>
    <col min="1000" max="1000" width="5.28515625" style="53" customWidth="1"/>
    <col min="1001" max="1001" width="5.85546875" style="53" bestFit="1" customWidth="1"/>
    <col min="1002" max="1002" width="16.42578125" style="53" customWidth="1"/>
    <col min="1003" max="1003" width="4.5703125" style="53" customWidth="1"/>
    <col min="1004" max="1004" width="14.140625" style="53" customWidth="1"/>
    <col min="1005" max="1005" width="27.140625" style="53" customWidth="1"/>
    <col min="1006" max="1006" width="16.28515625" style="53" customWidth="1"/>
    <col min="1007" max="1007" width="13.85546875" style="53" customWidth="1"/>
    <col min="1008" max="1250" width="9.140625" style="53"/>
    <col min="1251" max="1251" width="1.7109375" style="53" customWidth="1"/>
    <col min="1252" max="1253" width="4.7109375" style="53" customWidth="1"/>
    <col min="1254" max="1254" width="54.140625" style="53" customWidth="1"/>
    <col min="1255" max="1255" width="52" style="53" customWidth="1"/>
    <col min="1256" max="1256" width="5.28515625" style="53" customWidth="1"/>
    <col min="1257" max="1257" width="5.85546875" style="53" bestFit="1" customWidth="1"/>
    <col min="1258" max="1258" width="16.42578125" style="53" customWidth="1"/>
    <col min="1259" max="1259" width="4.5703125" style="53" customWidth="1"/>
    <col min="1260" max="1260" width="14.140625" style="53" customWidth="1"/>
    <col min="1261" max="1261" width="27.140625" style="53" customWidth="1"/>
    <col min="1262" max="1262" width="16.28515625" style="53" customWidth="1"/>
    <col min="1263" max="1263" width="13.85546875" style="53" customWidth="1"/>
    <col min="1264" max="1506" width="9.140625" style="53"/>
    <col min="1507" max="1507" width="1.7109375" style="53" customWidth="1"/>
    <col min="1508" max="1509" width="4.7109375" style="53" customWidth="1"/>
    <col min="1510" max="1510" width="54.140625" style="53" customWidth="1"/>
    <col min="1511" max="1511" width="52" style="53" customWidth="1"/>
    <col min="1512" max="1512" width="5.28515625" style="53" customWidth="1"/>
    <col min="1513" max="1513" width="5.85546875" style="53" bestFit="1" customWidth="1"/>
    <col min="1514" max="1514" width="16.42578125" style="53" customWidth="1"/>
    <col min="1515" max="1515" width="4.5703125" style="53" customWidth="1"/>
    <col min="1516" max="1516" width="14.140625" style="53" customWidth="1"/>
    <col min="1517" max="1517" width="27.140625" style="53" customWidth="1"/>
    <col min="1518" max="1518" width="16.28515625" style="53" customWidth="1"/>
    <col min="1519" max="1519" width="13.85546875" style="53" customWidth="1"/>
    <col min="1520" max="1762" width="9.140625" style="53"/>
    <col min="1763" max="1763" width="1.7109375" style="53" customWidth="1"/>
    <col min="1764" max="1765" width="4.7109375" style="53" customWidth="1"/>
    <col min="1766" max="1766" width="54.140625" style="53" customWidth="1"/>
    <col min="1767" max="1767" width="52" style="53" customWidth="1"/>
    <col min="1768" max="1768" width="5.28515625" style="53" customWidth="1"/>
    <col min="1769" max="1769" width="5.85546875" style="53" bestFit="1" customWidth="1"/>
    <col min="1770" max="1770" width="16.42578125" style="53" customWidth="1"/>
    <col min="1771" max="1771" width="4.5703125" style="53" customWidth="1"/>
    <col min="1772" max="1772" width="14.140625" style="53" customWidth="1"/>
    <col min="1773" max="1773" width="27.140625" style="53" customWidth="1"/>
    <col min="1774" max="1774" width="16.28515625" style="53" customWidth="1"/>
    <col min="1775" max="1775" width="13.85546875" style="53" customWidth="1"/>
    <col min="1776" max="2018" width="9.140625" style="53"/>
    <col min="2019" max="2019" width="1.7109375" style="53" customWidth="1"/>
    <col min="2020" max="2021" width="4.7109375" style="53" customWidth="1"/>
    <col min="2022" max="2022" width="54.140625" style="53" customWidth="1"/>
    <col min="2023" max="2023" width="52" style="53" customWidth="1"/>
    <col min="2024" max="2024" width="5.28515625" style="53" customWidth="1"/>
    <col min="2025" max="2025" width="5.85546875" style="53" bestFit="1" customWidth="1"/>
    <col min="2026" max="2026" width="16.42578125" style="53" customWidth="1"/>
    <col min="2027" max="2027" width="4.5703125" style="53" customWidth="1"/>
    <col min="2028" max="2028" width="14.140625" style="53" customWidth="1"/>
    <col min="2029" max="2029" width="27.140625" style="53" customWidth="1"/>
    <col min="2030" max="2030" width="16.28515625" style="53" customWidth="1"/>
    <col min="2031" max="2031" width="13.85546875" style="53" customWidth="1"/>
    <col min="2032" max="2274" width="9.140625" style="53"/>
    <col min="2275" max="2275" width="1.7109375" style="53" customWidth="1"/>
    <col min="2276" max="2277" width="4.7109375" style="53" customWidth="1"/>
    <col min="2278" max="2278" width="54.140625" style="53" customWidth="1"/>
    <col min="2279" max="2279" width="52" style="53" customWidth="1"/>
    <col min="2280" max="2280" width="5.28515625" style="53" customWidth="1"/>
    <col min="2281" max="2281" width="5.85546875" style="53" bestFit="1" customWidth="1"/>
    <col min="2282" max="2282" width="16.42578125" style="53" customWidth="1"/>
    <col min="2283" max="2283" width="4.5703125" style="53" customWidth="1"/>
    <col min="2284" max="2284" width="14.140625" style="53" customWidth="1"/>
    <col min="2285" max="2285" width="27.140625" style="53" customWidth="1"/>
    <col min="2286" max="2286" width="16.28515625" style="53" customWidth="1"/>
    <col min="2287" max="2287" width="13.85546875" style="53" customWidth="1"/>
    <col min="2288" max="2530" width="9.140625" style="53"/>
    <col min="2531" max="2531" width="1.7109375" style="53" customWidth="1"/>
    <col min="2532" max="2533" width="4.7109375" style="53" customWidth="1"/>
    <col min="2534" max="2534" width="54.140625" style="53" customWidth="1"/>
    <col min="2535" max="2535" width="52" style="53" customWidth="1"/>
    <col min="2536" max="2536" width="5.28515625" style="53" customWidth="1"/>
    <col min="2537" max="2537" width="5.85546875" style="53" bestFit="1" customWidth="1"/>
    <col min="2538" max="2538" width="16.42578125" style="53" customWidth="1"/>
    <col min="2539" max="2539" width="4.5703125" style="53" customWidth="1"/>
    <col min="2540" max="2540" width="14.140625" style="53" customWidth="1"/>
    <col min="2541" max="2541" width="27.140625" style="53" customWidth="1"/>
    <col min="2542" max="2542" width="16.28515625" style="53" customWidth="1"/>
    <col min="2543" max="2543" width="13.85546875" style="53" customWidth="1"/>
    <col min="2544" max="2786" width="9.140625" style="53"/>
    <col min="2787" max="2787" width="1.7109375" style="53" customWidth="1"/>
    <col min="2788" max="2789" width="4.7109375" style="53" customWidth="1"/>
    <col min="2790" max="2790" width="54.140625" style="53" customWidth="1"/>
    <col min="2791" max="2791" width="52" style="53" customWidth="1"/>
    <col min="2792" max="2792" width="5.28515625" style="53" customWidth="1"/>
    <col min="2793" max="2793" width="5.85546875" style="53" bestFit="1" customWidth="1"/>
    <col min="2794" max="2794" width="16.42578125" style="53" customWidth="1"/>
    <col min="2795" max="2795" width="4.5703125" style="53" customWidth="1"/>
    <col min="2796" max="2796" width="14.140625" style="53" customWidth="1"/>
    <col min="2797" max="2797" width="27.140625" style="53" customWidth="1"/>
    <col min="2798" max="2798" width="16.28515625" style="53" customWidth="1"/>
    <col min="2799" max="2799" width="13.85546875" style="53" customWidth="1"/>
    <col min="2800" max="3042" width="9.140625" style="53"/>
    <col min="3043" max="3043" width="1.7109375" style="53" customWidth="1"/>
    <col min="3044" max="3045" width="4.7109375" style="53" customWidth="1"/>
    <col min="3046" max="3046" width="54.140625" style="53" customWidth="1"/>
    <col min="3047" max="3047" width="52" style="53" customWidth="1"/>
    <col min="3048" max="3048" width="5.28515625" style="53" customWidth="1"/>
    <col min="3049" max="3049" width="5.85546875" style="53" bestFit="1" customWidth="1"/>
    <col min="3050" max="3050" width="16.42578125" style="53" customWidth="1"/>
    <col min="3051" max="3051" width="4.5703125" style="53" customWidth="1"/>
    <col min="3052" max="3052" width="14.140625" style="53" customWidth="1"/>
    <col min="3053" max="3053" width="27.140625" style="53" customWidth="1"/>
    <col min="3054" max="3054" width="16.28515625" style="53" customWidth="1"/>
    <col min="3055" max="3055" width="13.85546875" style="53" customWidth="1"/>
    <col min="3056" max="3298" width="9.140625" style="53"/>
    <col min="3299" max="3299" width="1.7109375" style="53" customWidth="1"/>
    <col min="3300" max="3301" width="4.7109375" style="53" customWidth="1"/>
    <col min="3302" max="3302" width="54.140625" style="53" customWidth="1"/>
    <col min="3303" max="3303" width="52" style="53" customWidth="1"/>
    <col min="3304" max="3304" width="5.28515625" style="53" customWidth="1"/>
    <col min="3305" max="3305" width="5.85546875" style="53" bestFit="1" customWidth="1"/>
    <col min="3306" max="3306" width="16.42578125" style="53" customWidth="1"/>
    <col min="3307" max="3307" width="4.5703125" style="53" customWidth="1"/>
    <col min="3308" max="3308" width="14.140625" style="53" customWidth="1"/>
    <col min="3309" max="3309" width="27.140625" style="53" customWidth="1"/>
    <col min="3310" max="3310" width="16.28515625" style="53" customWidth="1"/>
    <col min="3311" max="3311" width="13.85546875" style="53" customWidth="1"/>
    <col min="3312" max="3554" width="9.140625" style="53"/>
    <col min="3555" max="3555" width="1.7109375" style="53" customWidth="1"/>
    <col min="3556" max="3557" width="4.7109375" style="53" customWidth="1"/>
    <col min="3558" max="3558" width="54.140625" style="53" customWidth="1"/>
    <col min="3559" max="3559" width="52" style="53" customWidth="1"/>
    <col min="3560" max="3560" width="5.28515625" style="53" customWidth="1"/>
    <col min="3561" max="3561" width="5.85546875" style="53" bestFit="1" customWidth="1"/>
    <col min="3562" max="3562" width="16.42578125" style="53" customWidth="1"/>
    <col min="3563" max="3563" width="4.5703125" style="53" customWidth="1"/>
    <col min="3564" max="3564" width="14.140625" style="53" customWidth="1"/>
    <col min="3565" max="3565" width="27.140625" style="53" customWidth="1"/>
    <col min="3566" max="3566" width="16.28515625" style="53" customWidth="1"/>
    <col min="3567" max="3567" width="13.85546875" style="53" customWidth="1"/>
    <col min="3568" max="3810" width="9.140625" style="53"/>
    <col min="3811" max="3811" width="1.7109375" style="53" customWidth="1"/>
    <col min="3812" max="3813" width="4.7109375" style="53" customWidth="1"/>
    <col min="3814" max="3814" width="54.140625" style="53" customWidth="1"/>
    <col min="3815" max="3815" width="52" style="53" customWidth="1"/>
    <col min="3816" max="3816" width="5.28515625" style="53" customWidth="1"/>
    <col min="3817" max="3817" width="5.85546875" style="53" bestFit="1" customWidth="1"/>
    <col min="3818" max="3818" width="16.42578125" style="53" customWidth="1"/>
    <col min="3819" max="3819" width="4.5703125" style="53" customWidth="1"/>
    <col min="3820" max="3820" width="14.140625" style="53" customWidth="1"/>
    <col min="3821" max="3821" width="27.140625" style="53" customWidth="1"/>
    <col min="3822" max="3822" width="16.28515625" style="53" customWidth="1"/>
    <col min="3823" max="3823" width="13.85546875" style="53" customWidth="1"/>
    <col min="3824" max="4066" width="9.140625" style="53"/>
    <col min="4067" max="4067" width="1.7109375" style="53" customWidth="1"/>
    <col min="4068" max="4069" width="4.7109375" style="53" customWidth="1"/>
    <col min="4070" max="4070" width="54.140625" style="53" customWidth="1"/>
    <col min="4071" max="4071" width="52" style="53" customWidth="1"/>
    <col min="4072" max="4072" width="5.28515625" style="53" customWidth="1"/>
    <col min="4073" max="4073" width="5.85546875" style="53" bestFit="1" customWidth="1"/>
    <col min="4074" max="4074" width="16.42578125" style="53" customWidth="1"/>
    <col min="4075" max="4075" width="4.5703125" style="53" customWidth="1"/>
    <col min="4076" max="4076" width="14.140625" style="53" customWidth="1"/>
    <col min="4077" max="4077" width="27.140625" style="53" customWidth="1"/>
    <col min="4078" max="4078" width="16.28515625" style="53" customWidth="1"/>
    <col min="4079" max="4079" width="13.85546875" style="53" customWidth="1"/>
    <col min="4080" max="4322" width="9.140625" style="53"/>
    <col min="4323" max="4323" width="1.7109375" style="53" customWidth="1"/>
    <col min="4324" max="4325" width="4.7109375" style="53" customWidth="1"/>
    <col min="4326" max="4326" width="54.140625" style="53" customWidth="1"/>
    <col min="4327" max="4327" width="52" style="53" customWidth="1"/>
    <col min="4328" max="4328" width="5.28515625" style="53" customWidth="1"/>
    <col min="4329" max="4329" width="5.85546875" style="53" bestFit="1" customWidth="1"/>
    <col min="4330" max="4330" width="16.42578125" style="53" customWidth="1"/>
    <col min="4331" max="4331" width="4.5703125" style="53" customWidth="1"/>
    <col min="4332" max="4332" width="14.140625" style="53" customWidth="1"/>
    <col min="4333" max="4333" width="27.140625" style="53" customWidth="1"/>
    <col min="4334" max="4334" width="16.28515625" style="53" customWidth="1"/>
    <col min="4335" max="4335" width="13.85546875" style="53" customWidth="1"/>
    <col min="4336" max="4578" width="9.140625" style="53"/>
    <col min="4579" max="4579" width="1.7109375" style="53" customWidth="1"/>
    <col min="4580" max="4581" width="4.7109375" style="53" customWidth="1"/>
    <col min="4582" max="4582" width="54.140625" style="53" customWidth="1"/>
    <col min="4583" max="4583" width="52" style="53" customWidth="1"/>
    <col min="4584" max="4584" width="5.28515625" style="53" customWidth="1"/>
    <col min="4585" max="4585" width="5.85546875" style="53" bestFit="1" customWidth="1"/>
    <col min="4586" max="4586" width="16.42578125" style="53" customWidth="1"/>
    <col min="4587" max="4587" width="4.5703125" style="53" customWidth="1"/>
    <col min="4588" max="4588" width="14.140625" style="53" customWidth="1"/>
    <col min="4589" max="4589" width="27.140625" style="53" customWidth="1"/>
    <col min="4590" max="4590" width="16.28515625" style="53" customWidth="1"/>
    <col min="4591" max="4591" width="13.85546875" style="53" customWidth="1"/>
    <col min="4592" max="4834" width="9.140625" style="53"/>
    <col min="4835" max="4835" width="1.7109375" style="53" customWidth="1"/>
    <col min="4836" max="4837" width="4.7109375" style="53" customWidth="1"/>
    <col min="4838" max="4838" width="54.140625" style="53" customWidth="1"/>
    <col min="4839" max="4839" width="52" style="53" customWidth="1"/>
    <col min="4840" max="4840" width="5.28515625" style="53" customWidth="1"/>
    <col min="4841" max="4841" width="5.85546875" style="53" bestFit="1" customWidth="1"/>
    <col min="4842" max="4842" width="16.42578125" style="53" customWidth="1"/>
    <col min="4843" max="4843" width="4.5703125" style="53" customWidth="1"/>
    <col min="4844" max="4844" width="14.140625" style="53" customWidth="1"/>
    <col min="4845" max="4845" width="27.140625" style="53" customWidth="1"/>
    <col min="4846" max="4846" width="16.28515625" style="53" customWidth="1"/>
    <col min="4847" max="4847" width="13.85546875" style="53" customWidth="1"/>
    <col min="4848" max="5090" width="9.140625" style="53"/>
    <col min="5091" max="5091" width="1.7109375" style="53" customWidth="1"/>
    <col min="5092" max="5093" width="4.7109375" style="53" customWidth="1"/>
    <col min="5094" max="5094" width="54.140625" style="53" customWidth="1"/>
    <col min="5095" max="5095" width="52" style="53" customWidth="1"/>
    <col min="5096" max="5096" width="5.28515625" style="53" customWidth="1"/>
    <col min="5097" max="5097" width="5.85546875" style="53" bestFit="1" customWidth="1"/>
    <col min="5098" max="5098" width="16.42578125" style="53" customWidth="1"/>
    <col min="5099" max="5099" width="4.5703125" style="53" customWidth="1"/>
    <col min="5100" max="5100" width="14.140625" style="53" customWidth="1"/>
    <col min="5101" max="5101" width="27.140625" style="53" customWidth="1"/>
    <col min="5102" max="5102" width="16.28515625" style="53" customWidth="1"/>
    <col min="5103" max="5103" width="13.85546875" style="53" customWidth="1"/>
    <col min="5104" max="5346" width="9.140625" style="53"/>
    <col min="5347" max="5347" width="1.7109375" style="53" customWidth="1"/>
    <col min="5348" max="5349" width="4.7109375" style="53" customWidth="1"/>
    <col min="5350" max="5350" width="54.140625" style="53" customWidth="1"/>
    <col min="5351" max="5351" width="52" style="53" customWidth="1"/>
    <col min="5352" max="5352" width="5.28515625" style="53" customWidth="1"/>
    <col min="5353" max="5353" width="5.85546875" style="53" bestFit="1" customWidth="1"/>
    <col min="5354" max="5354" width="16.42578125" style="53" customWidth="1"/>
    <col min="5355" max="5355" width="4.5703125" style="53" customWidth="1"/>
    <col min="5356" max="5356" width="14.140625" style="53" customWidth="1"/>
    <col min="5357" max="5357" width="27.140625" style="53" customWidth="1"/>
    <col min="5358" max="5358" width="16.28515625" style="53" customWidth="1"/>
    <col min="5359" max="5359" width="13.85546875" style="53" customWidth="1"/>
    <col min="5360" max="5602" width="9.140625" style="53"/>
    <col min="5603" max="5603" width="1.7109375" style="53" customWidth="1"/>
    <col min="5604" max="5605" width="4.7109375" style="53" customWidth="1"/>
    <col min="5606" max="5606" width="54.140625" style="53" customWidth="1"/>
    <col min="5607" max="5607" width="52" style="53" customWidth="1"/>
    <col min="5608" max="5608" width="5.28515625" style="53" customWidth="1"/>
    <col min="5609" max="5609" width="5.85546875" style="53" bestFit="1" customWidth="1"/>
    <col min="5610" max="5610" width="16.42578125" style="53" customWidth="1"/>
    <col min="5611" max="5611" width="4.5703125" style="53" customWidth="1"/>
    <col min="5612" max="5612" width="14.140625" style="53" customWidth="1"/>
    <col min="5613" max="5613" width="27.140625" style="53" customWidth="1"/>
    <col min="5614" max="5614" width="16.28515625" style="53" customWidth="1"/>
    <col min="5615" max="5615" width="13.85546875" style="53" customWidth="1"/>
    <col min="5616" max="5858" width="9.140625" style="53"/>
    <col min="5859" max="5859" width="1.7109375" style="53" customWidth="1"/>
    <col min="5860" max="5861" width="4.7109375" style="53" customWidth="1"/>
    <col min="5862" max="5862" width="54.140625" style="53" customWidth="1"/>
    <col min="5863" max="5863" width="52" style="53" customWidth="1"/>
    <col min="5864" max="5864" width="5.28515625" style="53" customWidth="1"/>
    <col min="5865" max="5865" width="5.85546875" style="53" bestFit="1" customWidth="1"/>
    <col min="5866" max="5866" width="16.42578125" style="53" customWidth="1"/>
    <col min="5867" max="5867" width="4.5703125" style="53" customWidth="1"/>
    <col min="5868" max="5868" width="14.140625" style="53" customWidth="1"/>
    <col min="5869" max="5869" width="27.140625" style="53" customWidth="1"/>
    <col min="5870" max="5870" width="16.28515625" style="53" customWidth="1"/>
    <col min="5871" max="5871" width="13.85546875" style="53" customWidth="1"/>
    <col min="5872" max="6114" width="9.140625" style="53"/>
    <col min="6115" max="6115" width="1.7109375" style="53" customWidth="1"/>
    <col min="6116" max="6117" width="4.7109375" style="53" customWidth="1"/>
    <col min="6118" max="6118" width="54.140625" style="53" customWidth="1"/>
    <col min="6119" max="6119" width="52" style="53" customWidth="1"/>
    <col min="6120" max="6120" width="5.28515625" style="53" customWidth="1"/>
    <col min="6121" max="6121" width="5.85546875" style="53" bestFit="1" customWidth="1"/>
    <col min="6122" max="6122" width="16.42578125" style="53" customWidth="1"/>
    <col min="6123" max="6123" width="4.5703125" style="53" customWidth="1"/>
    <col min="6124" max="6124" width="14.140625" style="53" customWidth="1"/>
    <col min="6125" max="6125" width="27.140625" style="53" customWidth="1"/>
    <col min="6126" max="6126" width="16.28515625" style="53" customWidth="1"/>
    <col min="6127" max="6127" width="13.85546875" style="53" customWidth="1"/>
    <col min="6128" max="6370" width="9.140625" style="53"/>
    <col min="6371" max="6371" width="1.7109375" style="53" customWidth="1"/>
    <col min="6372" max="6373" width="4.7109375" style="53" customWidth="1"/>
    <col min="6374" max="6374" width="54.140625" style="53" customWidth="1"/>
    <col min="6375" max="6375" width="52" style="53" customWidth="1"/>
    <col min="6376" max="6376" width="5.28515625" style="53" customWidth="1"/>
    <col min="6377" max="6377" width="5.85546875" style="53" bestFit="1" customWidth="1"/>
    <col min="6378" max="6378" width="16.42578125" style="53" customWidth="1"/>
    <col min="6379" max="6379" width="4.5703125" style="53" customWidth="1"/>
    <col min="6380" max="6380" width="14.140625" style="53" customWidth="1"/>
    <col min="6381" max="6381" width="27.140625" style="53" customWidth="1"/>
    <col min="6382" max="6382" width="16.28515625" style="53" customWidth="1"/>
    <col min="6383" max="6383" width="13.85546875" style="53" customWidth="1"/>
    <col min="6384" max="6626" width="9.140625" style="53"/>
    <col min="6627" max="6627" width="1.7109375" style="53" customWidth="1"/>
    <col min="6628" max="6629" width="4.7109375" style="53" customWidth="1"/>
    <col min="6630" max="6630" width="54.140625" style="53" customWidth="1"/>
    <col min="6631" max="6631" width="52" style="53" customWidth="1"/>
    <col min="6632" max="6632" width="5.28515625" style="53" customWidth="1"/>
    <col min="6633" max="6633" width="5.85546875" style="53" bestFit="1" customWidth="1"/>
    <col min="6634" max="6634" width="16.42578125" style="53" customWidth="1"/>
    <col min="6635" max="6635" width="4.5703125" style="53" customWidth="1"/>
    <col min="6636" max="6636" width="14.140625" style="53" customWidth="1"/>
    <col min="6637" max="6637" width="27.140625" style="53" customWidth="1"/>
    <col min="6638" max="6638" width="16.28515625" style="53" customWidth="1"/>
    <col min="6639" max="6639" width="13.85546875" style="53" customWidth="1"/>
    <col min="6640" max="6882" width="9.140625" style="53"/>
    <col min="6883" max="6883" width="1.7109375" style="53" customWidth="1"/>
    <col min="6884" max="6885" width="4.7109375" style="53" customWidth="1"/>
    <col min="6886" max="6886" width="54.140625" style="53" customWidth="1"/>
    <col min="6887" max="6887" width="52" style="53" customWidth="1"/>
    <col min="6888" max="6888" width="5.28515625" style="53" customWidth="1"/>
    <col min="6889" max="6889" width="5.85546875" style="53" bestFit="1" customWidth="1"/>
    <col min="6890" max="6890" width="16.42578125" style="53" customWidth="1"/>
    <col min="6891" max="6891" width="4.5703125" style="53" customWidth="1"/>
    <col min="6892" max="6892" width="14.140625" style="53" customWidth="1"/>
    <col min="6893" max="6893" width="27.140625" style="53" customWidth="1"/>
    <col min="6894" max="6894" width="16.28515625" style="53" customWidth="1"/>
    <col min="6895" max="6895" width="13.85546875" style="53" customWidth="1"/>
    <col min="6896" max="7138" width="9.140625" style="53"/>
    <col min="7139" max="7139" width="1.7109375" style="53" customWidth="1"/>
    <col min="7140" max="7141" width="4.7109375" style="53" customWidth="1"/>
    <col min="7142" max="7142" width="54.140625" style="53" customWidth="1"/>
    <col min="7143" max="7143" width="52" style="53" customWidth="1"/>
    <col min="7144" max="7144" width="5.28515625" style="53" customWidth="1"/>
    <col min="7145" max="7145" width="5.85546875" style="53" bestFit="1" customWidth="1"/>
    <col min="7146" max="7146" width="16.42578125" style="53" customWidth="1"/>
    <col min="7147" max="7147" width="4.5703125" style="53" customWidth="1"/>
    <col min="7148" max="7148" width="14.140625" style="53" customWidth="1"/>
    <col min="7149" max="7149" width="27.140625" style="53" customWidth="1"/>
    <col min="7150" max="7150" width="16.28515625" style="53" customWidth="1"/>
    <col min="7151" max="7151" width="13.85546875" style="53" customWidth="1"/>
    <col min="7152" max="7394" width="9.140625" style="53"/>
    <col min="7395" max="7395" width="1.7109375" style="53" customWidth="1"/>
    <col min="7396" max="7397" width="4.7109375" style="53" customWidth="1"/>
    <col min="7398" max="7398" width="54.140625" style="53" customWidth="1"/>
    <col min="7399" max="7399" width="52" style="53" customWidth="1"/>
    <col min="7400" max="7400" width="5.28515625" style="53" customWidth="1"/>
    <col min="7401" max="7401" width="5.85546875" style="53" bestFit="1" customWidth="1"/>
    <col min="7402" max="7402" width="16.42578125" style="53" customWidth="1"/>
    <col min="7403" max="7403" width="4.5703125" style="53" customWidth="1"/>
    <col min="7404" max="7404" width="14.140625" style="53" customWidth="1"/>
    <col min="7405" max="7405" width="27.140625" style="53" customWidth="1"/>
    <col min="7406" max="7406" width="16.28515625" style="53" customWidth="1"/>
    <col min="7407" max="7407" width="13.85546875" style="53" customWidth="1"/>
    <col min="7408" max="7650" width="9.140625" style="53"/>
    <col min="7651" max="7651" width="1.7109375" style="53" customWidth="1"/>
    <col min="7652" max="7653" width="4.7109375" style="53" customWidth="1"/>
    <col min="7654" max="7654" width="54.140625" style="53" customWidth="1"/>
    <col min="7655" max="7655" width="52" style="53" customWidth="1"/>
    <col min="7656" max="7656" width="5.28515625" style="53" customWidth="1"/>
    <col min="7657" max="7657" width="5.85546875" style="53" bestFit="1" customWidth="1"/>
    <col min="7658" max="7658" width="16.42578125" style="53" customWidth="1"/>
    <col min="7659" max="7659" width="4.5703125" style="53" customWidth="1"/>
    <col min="7660" max="7660" width="14.140625" style="53" customWidth="1"/>
    <col min="7661" max="7661" width="27.140625" style="53" customWidth="1"/>
    <col min="7662" max="7662" width="16.28515625" style="53" customWidth="1"/>
    <col min="7663" max="7663" width="13.85546875" style="53" customWidth="1"/>
    <col min="7664" max="7906" width="9.140625" style="53"/>
    <col min="7907" max="7907" width="1.7109375" style="53" customWidth="1"/>
    <col min="7908" max="7909" width="4.7109375" style="53" customWidth="1"/>
    <col min="7910" max="7910" width="54.140625" style="53" customWidth="1"/>
    <col min="7911" max="7911" width="52" style="53" customWidth="1"/>
    <col min="7912" max="7912" width="5.28515625" style="53" customWidth="1"/>
    <col min="7913" max="7913" width="5.85546875" style="53" bestFit="1" customWidth="1"/>
    <col min="7914" max="7914" width="16.42578125" style="53" customWidth="1"/>
    <col min="7915" max="7915" width="4.5703125" style="53" customWidth="1"/>
    <col min="7916" max="7916" width="14.140625" style="53" customWidth="1"/>
    <col min="7917" max="7917" width="27.140625" style="53" customWidth="1"/>
    <col min="7918" max="7918" width="16.28515625" style="53" customWidth="1"/>
    <col min="7919" max="7919" width="13.85546875" style="53" customWidth="1"/>
    <col min="7920" max="8162" width="9.140625" style="53"/>
    <col min="8163" max="8163" width="1.7109375" style="53" customWidth="1"/>
    <col min="8164" max="8165" width="4.7109375" style="53" customWidth="1"/>
    <col min="8166" max="8166" width="54.140625" style="53" customWidth="1"/>
    <col min="8167" max="8167" width="52" style="53" customWidth="1"/>
    <col min="8168" max="8168" width="5.28515625" style="53" customWidth="1"/>
    <col min="8169" max="8169" width="5.85546875" style="53" bestFit="1" customWidth="1"/>
    <col min="8170" max="8170" width="16.42578125" style="53" customWidth="1"/>
    <col min="8171" max="8171" width="4.5703125" style="53" customWidth="1"/>
    <col min="8172" max="8172" width="14.140625" style="53" customWidth="1"/>
    <col min="8173" max="8173" width="27.140625" style="53" customWidth="1"/>
    <col min="8174" max="8174" width="16.28515625" style="53" customWidth="1"/>
    <col min="8175" max="8175" width="13.85546875" style="53" customWidth="1"/>
    <col min="8176" max="8418" width="9.140625" style="53"/>
    <col min="8419" max="8419" width="1.7109375" style="53" customWidth="1"/>
    <col min="8420" max="8421" width="4.7109375" style="53" customWidth="1"/>
    <col min="8422" max="8422" width="54.140625" style="53" customWidth="1"/>
    <col min="8423" max="8423" width="52" style="53" customWidth="1"/>
    <col min="8424" max="8424" width="5.28515625" style="53" customWidth="1"/>
    <col min="8425" max="8425" width="5.85546875" style="53" bestFit="1" customWidth="1"/>
    <col min="8426" max="8426" width="16.42578125" style="53" customWidth="1"/>
    <col min="8427" max="8427" width="4.5703125" style="53" customWidth="1"/>
    <col min="8428" max="8428" width="14.140625" style="53" customWidth="1"/>
    <col min="8429" max="8429" width="27.140625" style="53" customWidth="1"/>
    <col min="8430" max="8430" width="16.28515625" style="53" customWidth="1"/>
    <col min="8431" max="8431" width="13.85546875" style="53" customWidth="1"/>
    <col min="8432" max="8674" width="9.140625" style="53"/>
    <col min="8675" max="8675" width="1.7109375" style="53" customWidth="1"/>
    <col min="8676" max="8677" width="4.7109375" style="53" customWidth="1"/>
    <col min="8678" max="8678" width="54.140625" style="53" customWidth="1"/>
    <col min="8679" max="8679" width="52" style="53" customWidth="1"/>
    <col min="8680" max="8680" width="5.28515625" style="53" customWidth="1"/>
    <col min="8681" max="8681" width="5.85546875" style="53" bestFit="1" customWidth="1"/>
    <col min="8682" max="8682" width="16.42578125" style="53" customWidth="1"/>
    <col min="8683" max="8683" width="4.5703125" style="53" customWidth="1"/>
    <col min="8684" max="8684" width="14.140625" style="53" customWidth="1"/>
    <col min="8685" max="8685" width="27.140625" style="53" customWidth="1"/>
    <col min="8686" max="8686" width="16.28515625" style="53" customWidth="1"/>
    <col min="8687" max="8687" width="13.85546875" style="53" customWidth="1"/>
    <col min="8688" max="8930" width="9.140625" style="53"/>
    <col min="8931" max="8931" width="1.7109375" style="53" customWidth="1"/>
    <col min="8932" max="8933" width="4.7109375" style="53" customWidth="1"/>
    <col min="8934" max="8934" width="54.140625" style="53" customWidth="1"/>
    <col min="8935" max="8935" width="52" style="53" customWidth="1"/>
    <col min="8936" max="8936" width="5.28515625" style="53" customWidth="1"/>
    <col min="8937" max="8937" width="5.85546875" style="53" bestFit="1" customWidth="1"/>
    <col min="8938" max="8938" width="16.42578125" style="53" customWidth="1"/>
    <col min="8939" max="8939" width="4.5703125" style="53" customWidth="1"/>
    <col min="8940" max="8940" width="14.140625" style="53" customWidth="1"/>
    <col min="8941" max="8941" width="27.140625" style="53" customWidth="1"/>
    <col min="8942" max="8942" width="16.28515625" style="53" customWidth="1"/>
    <col min="8943" max="8943" width="13.85546875" style="53" customWidth="1"/>
    <col min="8944" max="9186" width="9.140625" style="53"/>
    <col min="9187" max="9187" width="1.7109375" style="53" customWidth="1"/>
    <col min="9188" max="9189" width="4.7109375" style="53" customWidth="1"/>
    <col min="9190" max="9190" width="54.140625" style="53" customWidth="1"/>
    <col min="9191" max="9191" width="52" style="53" customWidth="1"/>
    <col min="9192" max="9192" width="5.28515625" style="53" customWidth="1"/>
    <col min="9193" max="9193" width="5.85546875" style="53" bestFit="1" customWidth="1"/>
    <col min="9194" max="9194" width="16.42578125" style="53" customWidth="1"/>
    <col min="9195" max="9195" width="4.5703125" style="53" customWidth="1"/>
    <col min="9196" max="9196" width="14.140625" style="53" customWidth="1"/>
    <col min="9197" max="9197" width="27.140625" style="53" customWidth="1"/>
    <col min="9198" max="9198" width="16.28515625" style="53" customWidth="1"/>
    <col min="9199" max="9199" width="13.85546875" style="53" customWidth="1"/>
    <col min="9200" max="9442" width="9.140625" style="53"/>
    <col min="9443" max="9443" width="1.7109375" style="53" customWidth="1"/>
    <col min="9444" max="9445" width="4.7109375" style="53" customWidth="1"/>
    <col min="9446" max="9446" width="54.140625" style="53" customWidth="1"/>
    <col min="9447" max="9447" width="52" style="53" customWidth="1"/>
    <col min="9448" max="9448" width="5.28515625" style="53" customWidth="1"/>
    <col min="9449" max="9449" width="5.85546875" style="53" bestFit="1" customWidth="1"/>
    <col min="9450" max="9450" width="16.42578125" style="53" customWidth="1"/>
    <col min="9451" max="9451" width="4.5703125" style="53" customWidth="1"/>
    <col min="9452" max="9452" width="14.140625" style="53" customWidth="1"/>
    <col min="9453" max="9453" width="27.140625" style="53" customWidth="1"/>
    <col min="9454" max="9454" width="16.28515625" style="53" customWidth="1"/>
    <col min="9455" max="9455" width="13.85546875" style="53" customWidth="1"/>
    <col min="9456" max="9698" width="9.140625" style="53"/>
    <col min="9699" max="9699" width="1.7109375" style="53" customWidth="1"/>
    <col min="9700" max="9701" width="4.7109375" style="53" customWidth="1"/>
    <col min="9702" max="9702" width="54.140625" style="53" customWidth="1"/>
    <col min="9703" max="9703" width="52" style="53" customWidth="1"/>
    <col min="9704" max="9704" width="5.28515625" style="53" customWidth="1"/>
    <col min="9705" max="9705" width="5.85546875" style="53" bestFit="1" customWidth="1"/>
    <col min="9706" max="9706" width="16.42578125" style="53" customWidth="1"/>
    <col min="9707" max="9707" width="4.5703125" style="53" customWidth="1"/>
    <col min="9708" max="9708" width="14.140625" style="53" customWidth="1"/>
    <col min="9709" max="9709" width="27.140625" style="53" customWidth="1"/>
    <col min="9710" max="9710" width="16.28515625" style="53" customWidth="1"/>
    <col min="9711" max="9711" width="13.85546875" style="53" customWidth="1"/>
    <col min="9712" max="9954" width="9.140625" style="53"/>
    <col min="9955" max="9955" width="1.7109375" style="53" customWidth="1"/>
    <col min="9956" max="9957" width="4.7109375" style="53" customWidth="1"/>
    <col min="9958" max="9958" width="54.140625" style="53" customWidth="1"/>
    <col min="9959" max="9959" width="52" style="53" customWidth="1"/>
    <col min="9960" max="9960" width="5.28515625" style="53" customWidth="1"/>
    <col min="9961" max="9961" width="5.85546875" style="53" bestFit="1" customWidth="1"/>
    <col min="9962" max="9962" width="16.42578125" style="53" customWidth="1"/>
    <col min="9963" max="9963" width="4.5703125" style="53" customWidth="1"/>
    <col min="9964" max="9964" width="14.140625" style="53" customWidth="1"/>
    <col min="9965" max="9965" width="27.140625" style="53" customWidth="1"/>
    <col min="9966" max="9966" width="16.28515625" style="53" customWidth="1"/>
    <col min="9967" max="9967" width="13.85546875" style="53" customWidth="1"/>
    <col min="9968" max="10210" width="9.140625" style="53"/>
    <col min="10211" max="10211" width="1.7109375" style="53" customWidth="1"/>
    <col min="10212" max="10213" width="4.7109375" style="53" customWidth="1"/>
    <col min="10214" max="10214" width="54.140625" style="53" customWidth="1"/>
    <col min="10215" max="10215" width="52" style="53" customWidth="1"/>
    <col min="10216" max="10216" width="5.28515625" style="53" customWidth="1"/>
    <col min="10217" max="10217" width="5.85546875" style="53" bestFit="1" customWidth="1"/>
    <col min="10218" max="10218" width="16.42578125" style="53" customWidth="1"/>
    <col min="10219" max="10219" width="4.5703125" style="53" customWidth="1"/>
    <col min="10220" max="10220" width="14.140625" style="53" customWidth="1"/>
    <col min="10221" max="10221" width="27.140625" style="53" customWidth="1"/>
    <col min="10222" max="10222" width="16.28515625" style="53" customWidth="1"/>
    <col min="10223" max="10223" width="13.85546875" style="53" customWidth="1"/>
    <col min="10224" max="10466" width="9.140625" style="53"/>
    <col min="10467" max="10467" width="1.7109375" style="53" customWidth="1"/>
    <col min="10468" max="10469" width="4.7109375" style="53" customWidth="1"/>
    <col min="10470" max="10470" width="54.140625" style="53" customWidth="1"/>
    <col min="10471" max="10471" width="52" style="53" customWidth="1"/>
    <col min="10472" max="10472" width="5.28515625" style="53" customWidth="1"/>
    <col min="10473" max="10473" width="5.85546875" style="53" bestFit="1" customWidth="1"/>
    <col min="10474" max="10474" width="16.42578125" style="53" customWidth="1"/>
    <col min="10475" max="10475" width="4.5703125" style="53" customWidth="1"/>
    <col min="10476" max="10476" width="14.140625" style="53" customWidth="1"/>
    <col min="10477" max="10477" width="27.140625" style="53" customWidth="1"/>
    <col min="10478" max="10478" width="16.28515625" style="53" customWidth="1"/>
    <col min="10479" max="10479" width="13.85546875" style="53" customWidth="1"/>
    <col min="10480" max="10722" width="9.140625" style="53"/>
    <col min="10723" max="10723" width="1.7109375" style="53" customWidth="1"/>
    <col min="10724" max="10725" width="4.7109375" style="53" customWidth="1"/>
    <col min="10726" max="10726" width="54.140625" style="53" customWidth="1"/>
    <col min="10727" max="10727" width="52" style="53" customWidth="1"/>
    <col min="10728" max="10728" width="5.28515625" style="53" customWidth="1"/>
    <col min="10729" max="10729" width="5.85546875" style="53" bestFit="1" customWidth="1"/>
    <col min="10730" max="10730" width="16.42578125" style="53" customWidth="1"/>
    <col min="10731" max="10731" width="4.5703125" style="53" customWidth="1"/>
    <col min="10732" max="10732" width="14.140625" style="53" customWidth="1"/>
    <col min="10733" max="10733" width="27.140625" style="53" customWidth="1"/>
    <col min="10734" max="10734" width="16.28515625" style="53" customWidth="1"/>
    <col min="10735" max="10735" width="13.85546875" style="53" customWidth="1"/>
    <col min="10736" max="10978" width="9.140625" style="53"/>
    <col min="10979" max="10979" width="1.7109375" style="53" customWidth="1"/>
    <col min="10980" max="10981" width="4.7109375" style="53" customWidth="1"/>
    <col min="10982" max="10982" width="54.140625" style="53" customWidth="1"/>
    <col min="10983" max="10983" width="52" style="53" customWidth="1"/>
    <col min="10984" max="10984" width="5.28515625" style="53" customWidth="1"/>
    <col min="10985" max="10985" width="5.85546875" style="53" bestFit="1" customWidth="1"/>
    <col min="10986" max="10986" width="16.42578125" style="53" customWidth="1"/>
    <col min="10987" max="10987" width="4.5703125" style="53" customWidth="1"/>
    <col min="10988" max="10988" width="14.140625" style="53" customWidth="1"/>
    <col min="10989" max="10989" width="27.140625" style="53" customWidth="1"/>
    <col min="10990" max="10990" width="16.28515625" style="53" customWidth="1"/>
    <col min="10991" max="10991" width="13.85546875" style="53" customWidth="1"/>
    <col min="10992" max="11234" width="9.140625" style="53"/>
    <col min="11235" max="11235" width="1.7109375" style="53" customWidth="1"/>
    <col min="11236" max="11237" width="4.7109375" style="53" customWidth="1"/>
    <col min="11238" max="11238" width="54.140625" style="53" customWidth="1"/>
    <col min="11239" max="11239" width="52" style="53" customWidth="1"/>
    <col min="11240" max="11240" width="5.28515625" style="53" customWidth="1"/>
    <col min="11241" max="11241" width="5.85546875" style="53" bestFit="1" customWidth="1"/>
    <col min="11242" max="11242" width="16.42578125" style="53" customWidth="1"/>
    <col min="11243" max="11243" width="4.5703125" style="53" customWidth="1"/>
    <col min="11244" max="11244" width="14.140625" style="53" customWidth="1"/>
    <col min="11245" max="11245" width="27.140625" style="53" customWidth="1"/>
    <col min="11246" max="11246" width="16.28515625" style="53" customWidth="1"/>
    <col min="11247" max="11247" width="13.85546875" style="53" customWidth="1"/>
    <col min="11248" max="11490" width="9.140625" style="53"/>
    <col min="11491" max="11491" width="1.7109375" style="53" customWidth="1"/>
    <col min="11492" max="11493" width="4.7109375" style="53" customWidth="1"/>
    <col min="11494" max="11494" width="54.140625" style="53" customWidth="1"/>
    <col min="11495" max="11495" width="52" style="53" customWidth="1"/>
    <col min="11496" max="11496" width="5.28515625" style="53" customWidth="1"/>
    <col min="11497" max="11497" width="5.85546875" style="53" bestFit="1" customWidth="1"/>
    <col min="11498" max="11498" width="16.42578125" style="53" customWidth="1"/>
    <col min="11499" max="11499" width="4.5703125" style="53" customWidth="1"/>
    <col min="11500" max="11500" width="14.140625" style="53" customWidth="1"/>
    <col min="11501" max="11501" width="27.140625" style="53" customWidth="1"/>
    <col min="11502" max="11502" width="16.28515625" style="53" customWidth="1"/>
    <col min="11503" max="11503" width="13.85546875" style="53" customWidth="1"/>
    <col min="11504" max="11746" width="9.140625" style="53"/>
    <col min="11747" max="11747" width="1.7109375" style="53" customWidth="1"/>
    <col min="11748" max="11749" width="4.7109375" style="53" customWidth="1"/>
    <col min="11750" max="11750" width="54.140625" style="53" customWidth="1"/>
    <col min="11751" max="11751" width="52" style="53" customWidth="1"/>
    <col min="11752" max="11752" width="5.28515625" style="53" customWidth="1"/>
    <col min="11753" max="11753" width="5.85546875" style="53" bestFit="1" customWidth="1"/>
    <col min="11754" max="11754" width="16.42578125" style="53" customWidth="1"/>
    <col min="11755" max="11755" width="4.5703125" style="53" customWidth="1"/>
    <col min="11756" max="11756" width="14.140625" style="53" customWidth="1"/>
    <col min="11757" max="11757" width="27.140625" style="53" customWidth="1"/>
    <col min="11758" max="11758" width="16.28515625" style="53" customWidth="1"/>
    <col min="11759" max="11759" width="13.85546875" style="53" customWidth="1"/>
    <col min="11760" max="12002" width="9.140625" style="53"/>
    <col min="12003" max="12003" width="1.7109375" style="53" customWidth="1"/>
    <col min="12004" max="12005" width="4.7109375" style="53" customWidth="1"/>
    <col min="12006" max="12006" width="54.140625" style="53" customWidth="1"/>
    <col min="12007" max="12007" width="52" style="53" customWidth="1"/>
    <col min="12008" max="12008" width="5.28515625" style="53" customWidth="1"/>
    <col min="12009" max="12009" width="5.85546875" style="53" bestFit="1" customWidth="1"/>
    <col min="12010" max="12010" width="16.42578125" style="53" customWidth="1"/>
    <col min="12011" max="12011" width="4.5703125" style="53" customWidth="1"/>
    <col min="12012" max="12012" width="14.140625" style="53" customWidth="1"/>
    <col min="12013" max="12013" width="27.140625" style="53" customWidth="1"/>
    <col min="12014" max="12014" width="16.28515625" style="53" customWidth="1"/>
    <col min="12015" max="12015" width="13.85546875" style="53" customWidth="1"/>
    <col min="12016" max="12258" width="9.140625" style="53"/>
    <col min="12259" max="12259" width="1.7109375" style="53" customWidth="1"/>
    <col min="12260" max="12261" width="4.7109375" style="53" customWidth="1"/>
    <col min="12262" max="12262" width="54.140625" style="53" customWidth="1"/>
    <col min="12263" max="12263" width="52" style="53" customWidth="1"/>
    <col min="12264" max="12264" width="5.28515625" style="53" customWidth="1"/>
    <col min="12265" max="12265" width="5.85546875" style="53" bestFit="1" customWidth="1"/>
    <col min="12266" max="12266" width="16.42578125" style="53" customWidth="1"/>
    <col min="12267" max="12267" width="4.5703125" style="53" customWidth="1"/>
    <col min="12268" max="12268" width="14.140625" style="53" customWidth="1"/>
    <col min="12269" max="12269" width="27.140625" style="53" customWidth="1"/>
    <col min="12270" max="12270" width="16.28515625" style="53" customWidth="1"/>
    <col min="12271" max="12271" width="13.85546875" style="53" customWidth="1"/>
    <col min="12272" max="12514" width="9.140625" style="53"/>
    <col min="12515" max="12515" width="1.7109375" style="53" customWidth="1"/>
    <col min="12516" max="12517" width="4.7109375" style="53" customWidth="1"/>
    <col min="12518" max="12518" width="54.140625" style="53" customWidth="1"/>
    <col min="12519" max="12519" width="52" style="53" customWidth="1"/>
    <col min="12520" max="12520" width="5.28515625" style="53" customWidth="1"/>
    <col min="12521" max="12521" width="5.85546875" style="53" bestFit="1" customWidth="1"/>
    <col min="12522" max="12522" width="16.42578125" style="53" customWidth="1"/>
    <col min="12523" max="12523" width="4.5703125" style="53" customWidth="1"/>
    <col min="12524" max="12524" width="14.140625" style="53" customWidth="1"/>
    <col min="12525" max="12525" width="27.140625" style="53" customWidth="1"/>
    <col min="12526" max="12526" width="16.28515625" style="53" customWidth="1"/>
    <col min="12527" max="12527" width="13.85546875" style="53" customWidth="1"/>
    <col min="12528" max="12770" width="9.140625" style="53"/>
    <col min="12771" max="12771" width="1.7109375" style="53" customWidth="1"/>
    <col min="12772" max="12773" width="4.7109375" style="53" customWidth="1"/>
    <col min="12774" max="12774" width="54.140625" style="53" customWidth="1"/>
    <col min="12775" max="12775" width="52" style="53" customWidth="1"/>
    <col min="12776" max="12776" width="5.28515625" style="53" customWidth="1"/>
    <col min="12777" max="12777" width="5.85546875" style="53" bestFit="1" customWidth="1"/>
    <col min="12778" max="12778" width="16.42578125" style="53" customWidth="1"/>
    <col min="12779" max="12779" width="4.5703125" style="53" customWidth="1"/>
    <col min="12780" max="12780" width="14.140625" style="53" customWidth="1"/>
    <col min="12781" max="12781" width="27.140625" style="53" customWidth="1"/>
    <col min="12782" max="12782" width="16.28515625" style="53" customWidth="1"/>
    <col min="12783" max="12783" width="13.85546875" style="53" customWidth="1"/>
    <col min="12784" max="13026" width="9.140625" style="53"/>
    <col min="13027" max="13027" width="1.7109375" style="53" customWidth="1"/>
    <col min="13028" max="13029" width="4.7109375" style="53" customWidth="1"/>
    <col min="13030" max="13030" width="54.140625" style="53" customWidth="1"/>
    <col min="13031" max="13031" width="52" style="53" customWidth="1"/>
    <col min="13032" max="13032" width="5.28515625" style="53" customWidth="1"/>
    <col min="13033" max="13033" width="5.85546875" style="53" bestFit="1" customWidth="1"/>
    <col min="13034" max="13034" width="16.42578125" style="53" customWidth="1"/>
    <col min="13035" max="13035" width="4.5703125" style="53" customWidth="1"/>
    <col min="13036" max="13036" width="14.140625" style="53" customWidth="1"/>
    <col min="13037" max="13037" width="27.140625" style="53" customWidth="1"/>
    <col min="13038" max="13038" width="16.28515625" style="53" customWidth="1"/>
    <col min="13039" max="13039" width="13.85546875" style="53" customWidth="1"/>
    <col min="13040" max="13282" width="9.140625" style="53"/>
    <col min="13283" max="13283" width="1.7109375" style="53" customWidth="1"/>
    <col min="13284" max="13285" width="4.7109375" style="53" customWidth="1"/>
    <col min="13286" max="13286" width="54.140625" style="53" customWidth="1"/>
    <col min="13287" max="13287" width="52" style="53" customWidth="1"/>
    <col min="13288" max="13288" width="5.28515625" style="53" customWidth="1"/>
    <col min="13289" max="13289" width="5.85546875" style="53" bestFit="1" customWidth="1"/>
    <col min="13290" max="13290" width="16.42578125" style="53" customWidth="1"/>
    <col min="13291" max="13291" width="4.5703125" style="53" customWidth="1"/>
    <col min="13292" max="13292" width="14.140625" style="53" customWidth="1"/>
    <col min="13293" max="13293" width="27.140625" style="53" customWidth="1"/>
    <col min="13294" max="13294" width="16.28515625" style="53" customWidth="1"/>
    <col min="13295" max="13295" width="13.85546875" style="53" customWidth="1"/>
    <col min="13296" max="13538" width="9.140625" style="53"/>
    <col min="13539" max="13539" width="1.7109375" style="53" customWidth="1"/>
    <col min="13540" max="13541" width="4.7109375" style="53" customWidth="1"/>
    <col min="13542" max="13542" width="54.140625" style="53" customWidth="1"/>
    <col min="13543" max="13543" width="52" style="53" customWidth="1"/>
    <col min="13544" max="13544" width="5.28515625" style="53" customWidth="1"/>
    <col min="13545" max="13545" width="5.85546875" style="53" bestFit="1" customWidth="1"/>
    <col min="13546" max="13546" width="16.42578125" style="53" customWidth="1"/>
    <col min="13547" max="13547" width="4.5703125" style="53" customWidth="1"/>
    <col min="13548" max="13548" width="14.140625" style="53" customWidth="1"/>
    <col min="13549" max="13549" width="27.140625" style="53" customWidth="1"/>
    <col min="13550" max="13550" width="16.28515625" style="53" customWidth="1"/>
    <col min="13551" max="13551" width="13.85546875" style="53" customWidth="1"/>
    <col min="13552" max="13794" width="9.140625" style="53"/>
    <col min="13795" max="13795" width="1.7109375" style="53" customWidth="1"/>
    <col min="13796" max="13797" width="4.7109375" style="53" customWidth="1"/>
    <col min="13798" max="13798" width="54.140625" style="53" customWidth="1"/>
    <col min="13799" max="13799" width="52" style="53" customWidth="1"/>
    <col min="13800" max="13800" width="5.28515625" style="53" customWidth="1"/>
    <col min="13801" max="13801" width="5.85546875" style="53" bestFit="1" customWidth="1"/>
    <col min="13802" max="13802" width="16.42578125" style="53" customWidth="1"/>
    <col min="13803" max="13803" width="4.5703125" style="53" customWidth="1"/>
    <col min="13804" max="13804" width="14.140625" style="53" customWidth="1"/>
    <col min="13805" max="13805" width="27.140625" style="53" customWidth="1"/>
    <col min="13806" max="13806" width="16.28515625" style="53" customWidth="1"/>
    <col min="13807" max="13807" width="13.85546875" style="53" customWidth="1"/>
    <col min="13808" max="14050" width="9.140625" style="53"/>
    <col min="14051" max="14051" width="1.7109375" style="53" customWidth="1"/>
    <col min="14052" max="14053" width="4.7109375" style="53" customWidth="1"/>
    <col min="14054" max="14054" width="54.140625" style="53" customWidth="1"/>
    <col min="14055" max="14055" width="52" style="53" customWidth="1"/>
    <col min="14056" max="14056" width="5.28515625" style="53" customWidth="1"/>
    <col min="14057" max="14057" width="5.85546875" style="53" bestFit="1" customWidth="1"/>
    <col min="14058" max="14058" width="16.42578125" style="53" customWidth="1"/>
    <col min="14059" max="14059" width="4.5703125" style="53" customWidth="1"/>
    <col min="14060" max="14060" width="14.140625" style="53" customWidth="1"/>
    <col min="14061" max="14061" width="27.140625" style="53" customWidth="1"/>
    <col min="14062" max="14062" width="16.28515625" style="53" customWidth="1"/>
    <col min="14063" max="14063" width="13.85546875" style="53" customWidth="1"/>
    <col min="14064" max="14306" width="9.140625" style="53"/>
    <col min="14307" max="14307" width="1.7109375" style="53" customWidth="1"/>
    <col min="14308" max="14309" width="4.7109375" style="53" customWidth="1"/>
    <col min="14310" max="14310" width="54.140625" style="53" customWidth="1"/>
    <col min="14311" max="14311" width="52" style="53" customWidth="1"/>
    <col min="14312" max="14312" width="5.28515625" style="53" customWidth="1"/>
    <col min="14313" max="14313" width="5.85546875" style="53" bestFit="1" customWidth="1"/>
    <col min="14314" max="14314" width="16.42578125" style="53" customWidth="1"/>
    <col min="14315" max="14315" width="4.5703125" style="53" customWidth="1"/>
    <col min="14316" max="14316" width="14.140625" style="53" customWidth="1"/>
    <col min="14317" max="14317" width="27.140625" style="53" customWidth="1"/>
    <col min="14318" max="14318" width="16.28515625" style="53" customWidth="1"/>
    <col min="14319" max="14319" width="13.85546875" style="53" customWidth="1"/>
    <col min="14320" max="14562" width="9.140625" style="53"/>
    <col min="14563" max="14563" width="1.7109375" style="53" customWidth="1"/>
    <col min="14564" max="14565" width="4.7109375" style="53" customWidth="1"/>
    <col min="14566" max="14566" width="54.140625" style="53" customWidth="1"/>
    <col min="14567" max="14567" width="52" style="53" customWidth="1"/>
    <col min="14568" max="14568" width="5.28515625" style="53" customWidth="1"/>
    <col min="14569" max="14569" width="5.85546875" style="53" bestFit="1" customWidth="1"/>
    <col min="14570" max="14570" width="16.42578125" style="53" customWidth="1"/>
    <col min="14571" max="14571" width="4.5703125" style="53" customWidth="1"/>
    <col min="14572" max="14572" width="14.140625" style="53" customWidth="1"/>
    <col min="14573" max="14573" width="27.140625" style="53" customWidth="1"/>
    <col min="14574" max="14574" width="16.28515625" style="53" customWidth="1"/>
    <col min="14575" max="14575" width="13.85546875" style="53" customWidth="1"/>
    <col min="14576" max="14818" width="9.140625" style="53"/>
    <col min="14819" max="14819" width="1.7109375" style="53" customWidth="1"/>
    <col min="14820" max="14821" width="4.7109375" style="53" customWidth="1"/>
    <col min="14822" max="14822" width="54.140625" style="53" customWidth="1"/>
    <col min="14823" max="14823" width="52" style="53" customWidth="1"/>
    <col min="14824" max="14824" width="5.28515625" style="53" customWidth="1"/>
    <col min="14825" max="14825" width="5.85546875" style="53" bestFit="1" customWidth="1"/>
    <col min="14826" max="14826" width="16.42578125" style="53" customWidth="1"/>
    <col min="14827" max="14827" width="4.5703125" style="53" customWidth="1"/>
    <col min="14828" max="14828" width="14.140625" style="53" customWidth="1"/>
    <col min="14829" max="14829" width="27.140625" style="53" customWidth="1"/>
    <col min="14830" max="14830" width="16.28515625" style="53" customWidth="1"/>
    <col min="14831" max="14831" width="13.85546875" style="53" customWidth="1"/>
    <col min="14832" max="15074" width="9.140625" style="53"/>
    <col min="15075" max="15075" width="1.7109375" style="53" customWidth="1"/>
    <col min="15076" max="15077" width="4.7109375" style="53" customWidth="1"/>
    <col min="15078" max="15078" width="54.140625" style="53" customWidth="1"/>
    <col min="15079" max="15079" width="52" style="53" customWidth="1"/>
    <col min="15080" max="15080" width="5.28515625" style="53" customWidth="1"/>
    <col min="15081" max="15081" width="5.85546875" style="53" bestFit="1" customWidth="1"/>
    <col min="15082" max="15082" width="16.42578125" style="53" customWidth="1"/>
    <col min="15083" max="15083" width="4.5703125" style="53" customWidth="1"/>
    <col min="15084" max="15084" width="14.140625" style="53" customWidth="1"/>
    <col min="15085" max="15085" width="27.140625" style="53" customWidth="1"/>
    <col min="15086" max="15086" width="16.28515625" style="53" customWidth="1"/>
    <col min="15087" max="15087" width="13.85546875" style="53" customWidth="1"/>
    <col min="15088" max="15330" width="9.140625" style="53"/>
    <col min="15331" max="15331" width="1.7109375" style="53" customWidth="1"/>
    <col min="15332" max="15333" width="4.7109375" style="53" customWidth="1"/>
    <col min="15334" max="15334" width="54.140625" style="53" customWidth="1"/>
    <col min="15335" max="15335" width="52" style="53" customWidth="1"/>
    <col min="15336" max="15336" width="5.28515625" style="53" customWidth="1"/>
    <col min="15337" max="15337" width="5.85546875" style="53" bestFit="1" customWidth="1"/>
    <col min="15338" max="15338" width="16.42578125" style="53" customWidth="1"/>
    <col min="15339" max="15339" width="4.5703125" style="53" customWidth="1"/>
    <col min="15340" max="15340" width="14.140625" style="53" customWidth="1"/>
    <col min="15341" max="15341" width="27.140625" style="53" customWidth="1"/>
    <col min="15342" max="15342" width="16.28515625" style="53" customWidth="1"/>
    <col min="15343" max="15343" width="13.85546875" style="53" customWidth="1"/>
    <col min="15344" max="15586" width="9.140625" style="53"/>
    <col min="15587" max="15587" width="1.7109375" style="53" customWidth="1"/>
    <col min="15588" max="15589" width="4.7109375" style="53" customWidth="1"/>
    <col min="15590" max="15590" width="54.140625" style="53" customWidth="1"/>
    <col min="15591" max="15591" width="52" style="53" customWidth="1"/>
    <col min="15592" max="15592" width="5.28515625" style="53" customWidth="1"/>
    <col min="15593" max="15593" width="5.85546875" style="53" bestFit="1" customWidth="1"/>
    <col min="15594" max="15594" width="16.42578125" style="53" customWidth="1"/>
    <col min="15595" max="15595" width="4.5703125" style="53" customWidth="1"/>
    <col min="15596" max="15596" width="14.140625" style="53" customWidth="1"/>
    <col min="15597" max="15597" width="27.140625" style="53" customWidth="1"/>
    <col min="15598" max="15598" width="16.28515625" style="53" customWidth="1"/>
    <col min="15599" max="15599" width="13.85546875" style="53" customWidth="1"/>
    <col min="15600" max="15842" width="9.140625" style="53"/>
    <col min="15843" max="15843" width="1.7109375" style="53" customWidth="1"/>
    <col min="15844" max="15845" width="4.7109375" style="53" customWidth="1"/>
    <col min="15846" max="15846" width="54.140625" style="53" customWidth="1"/>
    <col min="15847" max="15847" width="52" style="53" customWidth="1"/>
    <col min="15848" max="15848" width="5.28515625" style="53" customWidth="1"/>
    <col min="15849" max="15849" width="5.85546875" style="53" bestFit="1" customWidth="1"/>
    <col min="15850" max="15850" width="16.42578125" style="53" customWidth="1"/>
    <col min="15851" max="15851" width="4.5703125" style="53" customWidth="1"/>
    <col min="15852" max="15852" width="14.140625" style="53" customWidth="1"/>
    <col min="15853" max="15853" width="27.140625" style="53" customWidth="1"/>
    <col min="15854" max="15854" width="16.28515625" style="53" customWidth="1"/>
    <col min="15855" max="15855" width="13.85546875" style="53" customWidth="1"/>
    <col min="15856" max="16098" width="9.140625" style="53"/>
    <col min="16099" max="16099" width="1.7109375" style="53" customWidth="1"/>
    <col min="16100" max="16101" width="4.7109375" style="53" customWidth="1"/>
    <col min="16102" max="16102" width="54.140625" style="53" customWidth="1"/>
    <col min="16103" max="16103" width="52" style="53" customWidth="1"/>
    <col min="16104" max="16104" width="5.28515625" style="53" customWidth="1"/>
    <col min="16105" max="16105" width="5.85546875" style="53" bestFit="1" customWidth="1"/>
    <col min="16106" max="16106" width="16.42578125" style="53" customWidth="1"/>
    <col min="16107" max="16107" width="4.5703125" style="53" customWidth="1"/>
    <col min="16108" max="16108" width="14.140625" style="53" customWidth="1"/>
    <col min="16109" max="16109" width="27.140625" style="53" customWidth="1"/>
    <col min="16110" max="16110" width="16.28515625" style="53" customWidth="1"/>
    <col min="16111" max="16111" width="13.85546875" style="53" customWidth="1"/>
    <col min="16112" max="16384" width="9.140625" style="53"/>
  </cols>
  <sheetData>
    <row r="1" spans="2:13" ht="15" customHeight="1" x14ac:dyDescent="0.25"/>
    <row r="2" spans="2:13" s="5" customFormat="1" ht="15.75" hidden="1" x14ac:dyDescent="0.25">
      <c r="B2" s="1144"/>
      <c r="C2" s="1645" t="s">
        <v>431</v>
      </c>
      <c r="D2" s="1645"/>
      <c r="E2" s="1645"/>
      <c r="F2" s="1645"/>
      <c r="G2" s="1645"/>
      <c r="H2" s="1645"/>
      <c r="I2" s="1645"/>
      <c r="J2" s="1142"/>
      <c r="K2" s="451"/>
    </row>
    <row r="3" spans="2:13" s="5" customFormat="1" ht="13.5" customHeight="1" x14ac:dyDescent="0.25">
      <c r="B3" s="1144"/>
      <c r="C3" s="1646" t="s">
        <v>532</v>
      </c>
      <c r="D3" s="1646"/>
      <c r="E3" s="1646"/>
      <c r="F3" s="1646"/>
      <c r="G3" s="1646"/>
      <c r="H3" s="1646"/>
      <c r="I3" s="1646"/>
      <c r="J3" s="1646"/>
      <c r="K3" s="1646"/>
    </row>
    <row r="4" spans="2:13" s="4" customFormat="1" ht="14.25" customHeight="1" x14ac:dyDescent="0.25">
      <c r="B4" s="1144"/>
      <c r="C4" s="1646" t="s">
        <v>1</v>
      </c>
      <c r="D4" s="1646"/>
      <c r="E4" s="1646"/>
      <c r="F4" s="1646"/>
      <c r="G4" s="1646"/>
      <c r="H4" s="1646"/>
      <c r="I4" s="1646"/>
      <c r="J4" s="1646"/>
      <c r="K4" s="1646"/>
    </row>
    <row r="5" spans="2:13" s="4" customFormat="1" ht="15.75" x14ac:dyDescent="0.25">
      <c r="B5" s="1144"/>
      <c r="C5" s="452"/>
      <c r="D5" s="453"/>
      <c r="E5" s="454"/>
      <c r="F5" s="455"/>
      <c r="G5" s="457"/>
      <c r="H5" s="457"/>
      <c r="I5" s="457"/>
      <c r="J5" s="457"/>
      <c r="K5" s="458"/>
    </row>
    <row r="6" spans="2:13" s="4" customFormat="1" ht="18" customHeight="1" thickBot="1" x14ac:dyDescent="0.3">
      <c r="B6" s="1144"/>
      <c r="C6" s="1143" t="s">
        <v>2</v>
      </c>
      <c r="D6" s="1505" t="s">
        <v>526</v>
      </c>
      <c r="E6" s="1505"/>
      <c r="F6" s="459"/>
      <c r="G6" s="457"/>
      <c r="H6" s="457"/>
      <c r="I6" s="457"/>
      <c r="J6" s="457"/>
      <c r="K6" s="458"/>
    </row>
    <row r="7" spans="2:13" s="4" customFormat="1" ht="3" hidden="1" customHeight="1" thickBot="1" x14ac:dyDescent="0.3">
      <c r="B7" s="1742"/>
      <c r="C7" s="6"/>
      <c r="D7" s="8"/>
      <c r="E7" s="9"/>
      <c r="F7" s="10"/>
      <c r="G7" s="12"/>
      <c r="H7" s="12"/>
      <c r="I7" s="12"/>
      <c r="J7" s="12"/>
      <c r="K7" s="1756"/>
    </row>
    <row r="8" spans="2:13" s="15" customFormat="1" ht="32.25" customHeight="1" thickTop="1" x14ac:dyDescent="0.25">
      <c r="B8" s="1742"/>
      <c r="C8" s="1757" t="s">
        <v>496</v>
      </c>
      <c r="D8" s="1759" t="s">
        <v>418</v>
      </c>
      <c r="E8" s="1760"/>
      <c r="F8" s="1763" t="s">
        <v>417</v>
      </c>
      <c r="G8" s="1765" t="s">
        <v>530</v>
      </c>
      <c r="H8" s="1765" t="s">
        <v>531</v>
      </c>
      <c r="I8" s="1765" t="s">
        <v>501</v>
      </c>
      <c r="J8" s="1767" t="s">
        <v>469</v>
      </c>
      <c r="K8" s="1756"/>
    </row>
    <row r="9" spans="2:13" s="15" customFormat="1" ht="24.75" customHeight="1" x14ac:dyDescent="0.25">
      <c r="B9" s="1742"/>
      <c r="C9" s="1758"/>
      <c r="D9" s="1761"/>
      <c r="E9" s="1762"/>
      <c r="F9" s="1764"/>
      <c r="G9" s="1766"/>
      <c r="H9" s="1766"/>
      <c r="I9" s="1766"/>
      <c r="J9" s="1768"/>
      <c r="K9" s="1756"/>
    </row>
    <row r="10" spans="2:13" s="29" customFormat="1" ht="32.25" customHeight="1" x14ac:dyDescent="0.25">
      <c r="B10" s="1742"/>
      <c r="C10" s="1769" t="s">
        <v>4</v>
      </c>
      <c r="D10" s="1770"/>
      <c r="E10" s="1771"/>
      <c r="F10" s="1376"/>
      <c r="G10" s="1377">
        <f>SUM(G18:G29)</f>
        <v>31636082971</v>
      </c>
      <c r="H10" s="1377">
        <f>SUM(H18:H29)</f>
        <v>37636082971</v>
      </c>
      <c r="I10" s="1378">
        <f>SUM(I11:I29)</f>
        <v>15500000000</v>
      </c>
      <c r="J10" s="1379"/>
      <c r="K10" s="1756"/>
      <c r="M10" s="396">
        <v>-37348487571</v>
      </c>
    </row>
    <row r="11" spans="2:13" s="62" customFormat="1" ht="43.5" customHeight="1" x14ac:dyDescent="0.25">
      <c r="B11" s="1742"/>
      <c r="C11" s="49" t="s">
        <v>5</v>
      </c>
      <c r="D11" s="1714" t="s">
        <v>229</v>
      </c>
      <c r="E11" s="1715"/>
      <c r="F11" s="760" t="s">
        <v>230</v>
      </c>
      <c r="G11" s="647">
        <v>1700000000</v>
      </c>
      <c r="H11" s="647">
        <v>0</v>
      </c>
      <c r="I11" s="647">
        <f t="shared" ref="I11:I27" si="0">H11-G11</f>
        <v>-1700000000</v>
      </c>
      <c r="J11" s="1381" t="s">
        <v>564</v>
      </c>
      <c r="K11" s="1756"/>
    </row>
    <row r="12" spans="2:13" s="62" customFormat="1" ht="51.75" customHeight="1" x14ac:dyDescent="0.25">
      <c r="B12" s="1742"/>
      <c r="C12" s="49" t="s">
        <v>10</v>
      </c>
      <c r="D12" s="1716" t="s">
        <v>220</v>
      </c>
      <c r="E12" s="1717"/>
      <c r="F12" s="763" t="s">
        <v>221</v>
      </c>
      <c r="G12" s="643">
        <v>1500000000</v>
      </c>
      <c r="H12" s="643">
        <v>0</v>
      </c>
      <c r="I12" s="643">
        <f t="shared" si="0"/>
        <v>-1500000000</v>
      </c>
      <c r="J12" s="1380" t="s">
        <v>565</v>
      </c>
      <c r="K12" s="1756"/>
    </row>
    <row r="13" spans="2:13" s="62" customFormat="1" ht="25.5" customHeight="1" x14ac:dyDescent="0.25">
      <c r="B13" s="1742"/>
      <c r="C13" s="49" t="s">
        <v>13</v>
      </c>
      <c r="D13" s="1738" t="s">
        <v>69</v>
      </c>
      <c r="E13" s="1739"/>
      <c r="F13" s="469" t="s">
        <v>137</v>
      </c>
      <c r="G13" s="626">
        <v>300000000</v>
      </c>
      <c r="H13" s="626">
        <v>250000000</v>
      </c>
      <c r="I13" s="626">
        <f t="shared" si="0"/>
        <v>-50000000</v>
      </c>
      <c r="J13" s="1382" t="s">
        <v>566</v>
      </c>
      <c r="K13" s="1756"/>
    </row>
    <row r="14" spans="2:13" s="62" customFormat="1" ht="27" customHeight="1" x14ac:dyDescent="0.25">
      <c r="B14" s="1742"/>
      <c r="C14" s="39" t="s">
        <v>16</v>
      </c>
      <c r="D14" s="1738" t="s">
        <v>78</v>
      </c>
      <c r="E14" s="1739"/>
      <c r="F14" s="469" t="s">
        <v>137</v>
      </c>
      <c r="G14" s="626">
        <v>750000000</v>
      </c>
      <c r="H14" s="626">
        <v>800000000</v>
      </c>
      <c r="I14" s="626">
        <f t="shared" si="0"/>
        <v>50000000</v>
      </c>
      <c r="J14" s="1382" t="s">
        <v>567</v>
      </c>
      <c r="K14" s="1756"/>
    </row>
    <row r="15" spans="2:13" s="113" customFormat="1" ht="43.5" customHeight="1" x14ac:dyDescent="0.25">
      <c r="B15" s="1742"/>
      <c r="C15" s="39" t="s">
        <v>19</v>
      </c>
      <c r="D15" s="1772" t="s">
        <v>80</v>
      </c>
      <c r="E15" s="1773"/>
      <c r="F15" s="1373" t="s">
        <v>137</v>
      </c>
      <c r="G15" s="1374">
        <v>850000000</v>
      </c>
      <c r="H15" s="1374">
        <v>1350000000</v>
      </c>
      <c r="I15" s="1374">
        <f t="shared" si="0"/>
        <v>500000000</v>
      </c>
      <c r="J15" s="1375" t="s">
        <v>528</v>
      </c>
      <c r="K15" s="1756"/>
    </row>
    <row r="16" spans="2:13" s="62" customFormat="1" ht="45.75" customHeight="1" x14ac:dyDescent="0.25">
      <c r="B16" s="1742"/>
      <c r="C16" s="39" t="s">
        <v>27</v>
      </c>
      <c r="D16" s="1582" t="s">
        <v>136</v>
      </c>
      <c r="E16" s="1583"/>
      <c r="F16" s="469" t="s">
        <v>137</v>
      </c>
      <c r="G16" s="626">
        <v>26300000000</v>
      </c>
      <c r="H16" s="626">
        <v>34000000000</v>
      </c>
      <c r="I16" s="626">
        <f t="shared" si="0"/>
        <v>7700000000</v>
      </c>
      <c r="J16" s="1382" t="s">
        <v>568</v>
      </c>
      <c r="K16" s="1756"/>
    </row>
    <row r="17" spans="2:11" s="29" customFormat="1" ht="61.5" customHeight="1" x14ac:dyDescent="0.25">
      <c r="B17" s="1742"/>
      <c r="C17" s="39" t="s">
        <v>30</v>
      </c>
      <c r="D17" s="1582" t="s">
        <v>145</v>
      </c>
      <c r="E17" s="1583"/>
      <c r="F17" s="1141" t="s">
        <v>146</v>
      </c>
      <c r="G17" s="625">
        <v>21200000000</v>
      </c>
      <c r="H17" s="625">
        <v>25700000000</v>
      </c>
      <c r="I17" s="625">
        <f t="shared" si="0"/>
        <v>4500000000</v>
      </c>
      <c r="J17" s="1384" t="s">
        <v>569</v>
      </c>
      <c r="K17" s="1756"/>
    </row>
    <row r="18" spans="2:11" s="62" customFormat="1" ht="29.25" customHeight="1" x14ac:dyDescent="0.25">
      <c r="B18" s="1742"/>
      <c r="C18" s="49" t="s">
        <v>8</v>
      </c>
      <c r="D18" s="1582" t="s">
        <v>167</v>
      </c>
      <c r="E18" s="1583"/>
      <c r="F18" s="469" t="s">
        <v>168</v>
      </c>
      <c r="G18" s="630">
        <v>11065000000</v>
      </c>
      <c r="H18" s="630">
        <v>12565000000</v>
      </c>
      <c r="I18" s="630">
        <f t="shared" si="0"/>
        <v>1500000000</v>
      </c>
      <c r="J18" s="1380" t="s">
        <v>570</v>
      </c>
      <c r="K18" s="1756"/>
    </row>
    <row r="19" spans="2:11" s="113" customFormat="1" ht="27.75" customHeight="1" x14ac:dyDescent="0.25">
      <c r="B19" s="1742"/>
      <c r="C19" s="39" t="s">
        <v>22</v>
      </c>
      <c r="D19" s="1744" t="s">
        <v>172</v>
      </c>
      <c r="E19" s="1745"/>
      <c r="F19" s="760" t="s">
        <v>230</v>
      </c>
      <c r="G19" s="643">
        <v>3000000000</v>
      </c>
      <c r="H19" s="643">
        <v>6500000000</v>
      </c>
      <c r="I19" s="896">
        <f t="shared" si="0"/>
        <v>3500000000</v>
      </c>
      <c r="J19" s="1385" t="s">
        <v>571</v>
      </c>
      <c r="K19" s="1756"/>
    </row>
    <row r="20" spans="2:11" s="29" customFormat="1" ht="30.75" customHeight="1" x14ac:dyDescent="0.25">
      <c r="B20" s="1742"/>
      <c r="C20" s="771" t="s">
        <v>210</v>
      </c>
      <c r="D20" s="1563" t="s">
        <v>227</v>
      </c>
      <c r="E20" s="1564"/>
      <c r="F20" s="74" t="s">
        <v>464</v>
      </c>
      <c r="G20" s="659">
        <v>11000000000</v>
      </c>
      <c r="H20" s="659">
        <v>12000000000</v>
      </c>
      <c r="I20" s="659">
        <f t="shared" si="0"/>
        <v>1000000000</v>
      </c>
      <c r="J20" s="1380" t="s">
        <v>572</v>
      </c>
      <c r="K20" s="1756"/>
    </row>
    <row r="21" spans="2:11" s="29" customFormat="1" ht="43.5" customHeight="1" x14ac:dyDescent="0.25">
      <c r="B21" s="1742"/>
      <c r="C21" s="771" t="s">
        <v>439</v>
      </c>
      <c r="D21" s="1563" t="s">
        <v>265</v>
      </c>
      <c r="E21" s="1564"/>
      <c r="F21" s="74" t="s">
        <v>464</v>
      </c>
      <c r="G21" s="659">
        <v>1000000000</v>
      </c>
      <c r="H21" s="659">
        <v>500000000</v>
      </c>
      <c r="I21" s="659">
        <f t="shared" si="0"/>
        <v>-500000000</v>
      </c>
      <c r="J21" s="1380" t="s">
        <v>573</v>
      </c>
      <c r="K21" s="1756"/>
    </row>
    <row r="22" spans="2:11" s="29" customFormat="1" ht="53.25" customHeight="1" x14ac:dyDescent="0.25">
      <c r="B22" s="1742"/>
      <c r="C22" s="771" t="s">
        <v>440</v>
      </c>
      <c r="D22" s="1618" t="s">
        <v>270</v>
      </c>
      <c r="E22" s="1620"/>
      <c r="F22" s="855" t="s">
        <v>271</v>
      </c>
      <c r="G22" s="660">
        <v>1045000000</v>
      </c>
      <c r="H22" s="660">
        <v>1545000000</v>
      </c>
      <c r="I22" s="660">
        <f t="shared" si="0"/>
        <v>500000000</v>
      </c>
      <c r="J22" s="1386" t="s">
        <v>574</v>
      </c>
      <c r="K22" s="1756"/>
    </row>
    <row r="23" spans="2:11" s="62" customFormat="1" ht="54.75" customHeight="1" x14ac:dyDescent="0.25">
      <c r="B23" s="1742"/>
      <c r="C23" s="771" t="s">
        <v>441</v>
      </c>
      <c r="D23" s="1563" t="s">
        <v>308</v>
      </c>
      <c r="E23" s="1564"/>
      <c r="F23" s="767" t="s">
        <v>309</v>
      </c>
      <c r="G23" s="617">
        <v>2126082971</v>
      </c>
      <c r="H23" s="617">
        <v>600000000</v>
      </c>
      <c r="I23" s="617">
        <f t="shared" si="0"/>
        <v>-1526082971</v>
      </c>
      <c r="J23" s="1387" t="s">
        <v>575</v>
      </c>
      <c r="K23" s="1756"/>
    </row>
    <row r="24" spans="2:11" s="29" customFormat="1" ht="30" customHeight="1" x14ac:dyDescent="0.25">
      <c r="B24" s="1742"/>
      <c r="C24" s="39" t="s">
        <v>442</v>
      </c>
      <c r="D24" s="1712" t="s">
        <v>317</v>
      </c>
      <c r="E24" s="1713"/>
      <c r="F24" s="772" t="s">
        <v>318</v>
      </c>
      <c r="G24" s="774">
        <v>100000000</v>
      </c>
      <c r="H24" s="774">
        <v>300000000</v>
      </c>
      <c r="I24" s="774">
        <f t="shared" si="0"/>
        <v>200000000</v>
      </c>
      <c r="J24" s="1388" t="s">
        <v>576</v>
      </c>
      <c r="K24" s="1756"/>
    </row>
    <row r="25" spans="2:11" s="343" customFormat="1" ht="31.5" customHeight="1" x14ac:dyDescent="0.25">
      <c r="B25" s="1742"/>
      <c r="C25" s="771" t="s">
        <v>443</v>
      </c>
      <c r="D25" s="1582" t="s">
        <v>320</v>
      </c>
      <c r="E25" s="1583"/>
      <c r="F25" s="772" t="s">
        <v>321</v>
      </c>
      <c r="G25" s="774">
        <v>200000000</v>
      </c>
      <c r="H25" s="774">
        <v>600000000</v>
      </c>
      <c r="I25" s="774">
        <f t="shared" si="0"/>
        <v>400000000</v>
      </c>
      <c r="J25" s="1389" t="s">
        <v>576</v>
      </c>
      <c r="K25" s="1756"/>
    </row>
    <row r="26" spans="2:11" s="29" customFormat="1" ht="34.5" customHeight="1" x14ac:dyDescent="0.25">
      <c r="B26" s="1742"/>
      <c r="C26" s="771" t="s">
        <v>444</v>
      </c>
      <c r="D26" s="1712" t="s">
        <v>322</v>
      </c>
      <c r="E26" s="1713"/>
      <c r="F26" s="772" t="s">
        <v>323</v>
      </c>
      <c r="G26" s="774">
        <v>100000000</v>
      </c>
      <c r="H26" s="774">
        <v>250000000</v>
      </c>
      <c r="I26" s="774">
        <f t="shared" si="0"/>
        <v>150000000</v>
      </c>
      <c r="J26" s="1390" t="s">
        <v>576</v>
      </c>
      <c r="K26" s="1756"/>
    </row>
    <row r="27" spans="2:11" s="29" customFormat="1" ht="28.5" customHeight="1" x14ac:dyDescent="0.25">
      <c r="B27" s="1742"/>
      <c r="C27" s="771" t="s">
        <v>445</v>
      </c>
      <c r="D27" s="1582" t="s">
        <v>335</v>
      </c>
      <c r="E27" s="1583"/>
      <c r="F27" s="856" t="s">
        <v>336</v>
      </c>
      <c r="G27" s="663">
        <v>2000000000</v>
      </c>
      <c r="H27" s="663">
        <v>2776082971</v>
      </c>
      <c r="I27" s="663">
        <f t="shared" si="0"/>
        <v>776082971</v>
      </c>
      <c r="J27" s="1391" t="s">
        <v>577</v>
      </c>
      <c r="K27" s="1756"/>
    </row>
    <row r="28" spans="2:11" s="62" customFormat="1" ht="25.5" hidden="1" customHeight="1" x14ac:dyDescent="0.25">
      <c r="B28" s="1742"/>
      <c r="C28" s="771" t="s">
        <v>446</v>
      </c>
      <c r="D28" s="1582"/>
      <c r="E28" s="1583"/>
      <c r="F28" s="856"/>
      <c r="G28" s="663"/>
      <c r="H28" s="663"/>
      <c r="I28" s="663"/>
      <c r="J28" s="1117"/>
      <c r="K28" s="1756"/>
    </row>
    <row r="29" spans="2:11" s="29" customFormat="1" ht="21" hidden="1" customHeight="1" x14ac:dyDescent="0.25">
      <c r="B29" s="1742"/>
      <c r="C29" s="39" t="s">
        <v>447</v>
      </c>
      <c r="D29" s="1582"/>
      <c r="E29" s="1583"/>
      <c r="F29" s="856"/>
      <c r="G29" s="663"/>
      <c r="H29" s="663"/>
      <c r="I29" s="663"/>
      <c r="J29" s="1117"/>
      <c r="K29" s="1756"/>
    </row>
    <row r="30" spans="2:11" ht="2.25" customHeight="1" thickBot="1" x14ac:dyDescent="0.3">
      <c r="B30" s="1742"/>
      <c r="C30" s="420"/>
      <c r="D30" s="422"/>
      <c r="E30" s="423"/>
      <c r="F30" s="424"/>
      <c r="G30" s="672"/>
      <c r="H30" s="672"/>
      <c r="I30" s="672"/>
      <c r="J30" s="426"/>
      <c r="K30" s="1756"/>
    </row>
    <row r="31" spans="2:11" ht="3" customHeight="1" thickTop="1" x14ac:dyDescent="0.25">
      <c r="B31" s="1742"/>
      <c r="K31" s="1756"/>
    </row>
    <row r="42" spans="2:11" ht="15.75" x14ac:dyDescent="0.25">
      <c r="B42" s="1646" t="s">
        <v>532</v>
      </c>
      <c r="C42" s="1646"/>
      <c r="D42" s="1646"/>
      <c r="E42" s="1646"/>
      <c r="F42" s="1646"/>
      <c r="G42" s="1646"/>
      <c r="H42" s="1646"/>
      <c r="I42" s="1646"/>
      <c r="J42" s="1646"/>
      <c r="K42" s="1646"/>
    </row>
    <row r="43" spans="2:11" ht="15.75" x14ac:dyDescent="0.25">
      <c r="B43" s="1646" t="s">
        <v>1</v>
      </c>
      <c r="C43" s="1646"/>
      <c r="D43" s="1646"/>
      <c r="E43" s="1646"/>
      <c r="F43" s="1646"/>
      <c r="G43" s="1646"/>
      <c r="H43" s="1646"/>
      <c r="I43" s="1646"/>
      <c r="J43" s="1646"/>
      <c r="K43" s="1646"/>
    </row>
    <row r="44" spans="2:11" ht="15.75" x14ac:dyDescent="0.25">
      <c r="B44" s="1144"/>
      <c r="C44" s="452"/>
      <c r="D44" s="453"/>
      <c r="E44" s="454"/>
      <c r="F44" s="455"/>
      <c r="G44" s="457"/>
      <c r="H44" s="457"/>
      <c r="I44" s="457"/>
      <c r="J44" s="457"/>
      <c r="K44" s="458"/>
    </row>
    <row r="45" spans="2:11" ht="15.75" x14ac:dyDescent="0.25">
      <c r="B45" s="1144"/>
      <c r="C45" s="1143" t="s">
        <v>2</v>
      </c>
      <c r="D45" s="1505" t="s">
        <v>526</v>
      </c>
      <c r="E45" s="1505"/>
      <c r="F45" s="459"/>
      <c r="G45" s="457"/>
      <c r="H45" s="457"/>
      <c r="I45" s="457"/>
      <c r="J45" s="457"/>
      <c r="K45" s="458"/>
    </row>
    <row r="46" spans="2:11" ht="3" customHeight="1" thickBot="1" x14ac:dyDescent="0.3">
      <c r="B46" s="1742"/>
      <c r="C46" s="6"/>
      <c r="D46" s="8"/>
      <c r="E46" s="9"/>
      <c r="F46" s="10"/>
      <c r="G46" s="12"/>
      <c r="H46" s="12"/>
      <c r="I46" s="12"/>
      <c r="J46" s="12"/>
      <c r="K46" s="1756"/>
    </row>
    <row r="47" spans="2:11" ht="13.5" thickTop="1" x14ac:dyDescent="0.25">
      <c r="B47" s="1742"/>
      <c r="C47" s="1757" t="s">
        <v>496</v>
      </c>
      <c r="D47" s="1759" t="s">
        <v>418</v>
      </c>
      <c r="E47" s="1760"/>
      <c r="F47" s="1763" t="s">
        <v>417</v>
      </c>
      <c r="G47" s="1765" t="s">
        <v>530</v>
      </c>
      <c r="H47" s="1765" t="s">
        <v>531</v>
      </c>
      <c r="I47" s="1765" t="s">
        <v>501</v>
      </c>
      <c r="J47" s="1767" t="s">
        <v>469</v>
      </c>
      <c r="K47" s="1756"/>
    </row>
    <row r="48" spans="2:11" ht="34.5" customHeight="1" x14ac:dyDescent="0.25">
      <c r="B48" s="1742"/>
      <c r="C48" s="1758"/>
      <c r="D48" s="1761"/>
      <c r="E48" s="1762"/>
      <c r="F48" s="1764"/>
      <c r="G48" s="1766"/>
      <c r="H48" s="1766"/>
      <c r="I48" s="1766"/>
      <c r="J48" s="1768"/>
      <c r="K48" s="1756"/>
    </row>
    <row r="49" spans="2:11" ht="27" customHeight="1" x14ac:dyDescent="0.25">
      <c r="B49" s="1742"/>
      <c r="C49" s="1769" t="s">
        <v>4</v>
      </c>
      <c r="D49" s="1770"/>
      <c r="E49" s="1771"/>
      <c r="F49" s="1376"/>
      <c r="G49" s="1377">
        <f>SUM(G50:G68)</f>
        <v>83386082971</v>
      </c>
      <c r="H49" s="1377">
        <f>SUM(H50:H68)</f>
        <v>98386082971</v>
      </c>
      <c r="I49" s="1378">
        <f>SUM(I50:I68)</f>
        <v>15000000000</v>
      </c>
      <c r="J49" s="1379"/>
      <c r="K49" s="1756"/>
    </row>
    <row r="50" spans="2:11" ht="26.25" customHeight="1" x14ac:dyDescent="0.25">
      <c r="B50" s="1742"/>
      <c r="C50" s="49" t="s">
        <v>5</v>
      </c>
      <c r="D50" s="1714" t="s">
        <v>229</v>
      </c>
      <c r="E50" s="1715"/>
      <c r="F50" s="760" t="s">
        <v>230</v>
      </c>
      <c r="G50" s="647">
        <v>1700000000</v>
      </c>
      <c r="H50" s="647">
        <v>0</v>
      </c>
      <c r="I50" s="647">
        <f t="shared" ref="I50:I53" si="1">H50-G50</f>
        <v>-1700000000</v>
      </c>
      <c r="J50" s="1381" t="s">
        <v>564</v>
      </c>
      <c r="K50" s="1756"/>
    </row>
    <row r="51" spans="2:11" ht="44.25" customHeight="1" x14ac:dyDescent="0.25">
      <c r="B51" s="1742"/>
      <c r="C51" s="49" t="s">
        <v>10</v>
      </c>
      <c r="D51" s="1716" t="s">
        <v>220</v>
      </c>
      <c r="E51" s="1717"/>
      <c r="F51" s="763" t="s">
        <v>221</v>
      </c>
      <c r="G51" s="643">
        <v>1500000000</v>
      </c>
      <c r="H51" s="643">
        <v>0</v>
      </c>
      <c r="I51" s="643">
        <f t="shared" si="1"/>
        <v>-1500000000</v>
      </c>
      <c r="J51" s="1380" t="s">
        <v>565</v>
      </c>
      <c r="K51" s="1756"/>
    </row>
    <row r="52" spans="2:11" ht="28.5" customHeight="1" x14ac:dyDescent="0.25">
      <c r="B52" s="1742"/>
      <c r="C52" s="49" t="s">
        <v>13</v>
      </c>
      <c r="D52" s="1738" t="s">
        <v>69</v>
      </c>
      <c r="E52" s="1739"/>
      <c r="F52" s="469" t="s">
        <v>137</v>
      </c>
      <c r="G52" s="626">
        <v>300000000</v>
      </c>
      <c r="H52" s="626">
        <v>250000000</v>
      </c>
      <c r="I52" s="626">
        <f t="shared" si="1"/>
        <v>-50000000</v>
      </c>
      <c r="J52" s="1382" t="s">
        <v>566</v>
      </c>
      <c r="K52" s="1756"/>
    </row>
    <row r="53" spans="2:11" ht="22.5" customHeight="1" x14ac:dyDescent="0.25">
      <c r="B53" s="1742"/>
      <c r="C53" s="39" t="s">
        <v>16</v>
      </c>
      <c r="D53" s="1738" t="s">
        <v>78</v>
      </c>
      <c r="E53" s="1739"/>
      <c r="F53" s="469" t="s">
        <v>137</v>
      </c>
      <c r="G53" s="626">
        <v>750000000</v>
      </c>
      <c r="H53" s="626">
        <v>800000000</v>
      </c>
      <c r="I53" s="626">
        <f t="shared" si="1"/>
        <v>50000000</v>
      </c>
      <c r="J53" s="1382" t="s">
        <v>567</v>
      </c>
      <c r="K53" s="1756"/>
    </row>
    <row r="54" spans="2:11" ht="38.25" customHeight="1" x14ac:dyDescent="0.25">
      <c r="B54" s="1742"/>
      <c r="C54" s="39" t="s">
        <v>19</v>
      </c>
      <c r="D54" s="1582" t="s">
        <v>136</v>
      </c>
      <c r="E54" s="1583"/>
      <c r="F54" s="469" t="s">
        <v>137</v>
      </c>
      <c r="G54" s="626">
        <v>26300000000</v>
      </c>
      <c r="H54" s="626">
        <v>34000000000</v>
      </c>
      <c r="I54" s="626">
        <f t="shared" ref="I54:I58" si="2">H54-G54</f>
        <v>7700000000</v>
      </c>
      <c r="J54" s="1382" t="s">
        <v>568</v>
      </c>
      <c r="K54" s="1756"/>
    </row>
    <row r="55" spans="2:11" ht="51.75" customHeight="1" x14ac:dyDescent="0.25">
      <c r="B55" s="1742"/>
      <c r="C55" s="39" t="s">
        <v>27</v>
      </c>
      <c r="D55" s="1582" t="s">
        <v>145</v>
      </c>
      <c r="E55" s="1583"/>
      <c r="F55" s="1141" t="s">
        <v>146</v>
      </c>
      <c r="G55" s="625">
        <v>21200000000</v>
      </c>
      <c r="H55" s="625">
        <v>25700000000</v>
      </c>
      <c r="I55" s="625">
        <f t="shared" si="2"/>
        <v>4500000000</v>
      </c>
      <c r="J55" s="1384" t="s">
        <v>569</v>
      </c>
      <c r="K55" s="1756"/>
    </row>
    <row r="56" spans="2:11" ht="27.75" customHeight="1" x14ac:dyDescent="0.25">
      <c r="B56" s="1742"/>
      <c r="C56" s="39" t="s">
        <v>30</v>
      </c>
      <c r="D56" s="1582" t="s">
        <v>167</v>
      </c>
      <c r="E56" s="1583"/>
      <c r="F56" s="469" t="s">
        <v>168</v>
      </c>
      <c r="G56" s="630">
        <v>11065000000</v>
      </c>
      <c r="H56" s="630">
        <v>12565000000</v>
      </c>
      <c r="I56" s="630">
        <f t="shared" si="2"/>
        <v>1500000000</v>
      </c>
      <c r="J56" s="1380" t="s">
        <v>570</v>
      </c>
      <c r="K56" s="1756"/>
    </row>
    <row r="57" spans="2:11" ht="25.5" customHeight="1" x14ac:dyDescent="0.25">
      <c r="B57" s="1742"/>
      <c r="C57" s="49" t="s">
        <v>8</v>
      </c>
      <c r="D57" s="1744" t="s">
        <v>172</v>
      </c>
      <c r="E57" s="1745"/>
      <c r="F57" s="760" t="s">
        <v>230</v>
      </c>
      <c r="G57" s="643">
        <v>3000000000</v>
      </c>
      <c r="H57" s="643">
        <f>6500000000-300000000</f>
        <v>6200000000</v>
      </c>
      <c r="I57" s="896">
        <f t="shared" si="2"/>
        <v>3200000000</v>
      </c>
      <c r="J57" s="1385" t="s">
        <v>580</v>
      </c>
      <c r="K57" s="1756"/>
    </row>
    <row r="58" spans="2:11" ht="22.5" customHeight="1" x14ac:dyDescent="0.25">
      <c r="B58" s="1742"/>
      <c r="C58" s="39" t="s">
        <v>22</v>
      </c>
      <c r="D58" s="1563" t="s">
        <v>105</v>
      </c>
      <c r="E58" s="1564"/>
      <c r="F58" s="74" t="s">
        <v>464</v>
      </c>
      <c r="G58" s="659">
        <v>0</v>
      </c>
      <c r="H58" s="659">
        <v>300000000</v>
      </c>
      <c r="I58" s="659">
        <f t="shared" si="2"/>
        <v>300000000</v>
      </c>
      <c r="J58" s="1380" t="s">
        <v>581</v>
      </c>
      <c r="K58" s="1756"/>
    </row>
    <row r="59" spans="2:11" ht="28.5" customHeight="1" x14ac:dyDescent="0.25">
      <c r="B59" s="1742"/>
      <c r="C59" s="771" t="s">
        <v>210</v>
      </c>
      <c r="D59" s="1563" t="s">
        <v>227</v>
      </c>
      <c r="E59" s="1564"/>
      <c r="F59" s="74" t="s">
        <v>464</v>
      </c>
      <c r="G59" s="659">
        <v>11000000000</v>
      </c>
      <c r="H59" s="659">
        <v>12000000000</v>
      </c>
      <c r="I59" s="659">
        <f t="shared" ref="I59:I66" si="3">H59-G59</f>
        <v>1000000000</v>
      </c>
      <c r="J59" s="1380" t="s">
        <v>572</v>
      </c>
      <c r="K59" s="1756"/>
    </row>
    <row r="60" spans="2:11" ht="39" customHeight="1" x14ac:dyDescent="0.25">
      <c r="B60" s="1742"/>
      <c r="C60" s="771" t="s">
        <v>439</v>
      </c>
      <c r="D60" s="1563" t="s">
        <v>265</v>
      </c>
      <c r="E60" s="1564"/>
      <c r="F60" s="74" t="s">
        <v>464</v>
      </c>
      <c r="G60" s="659">
        <v>1000000000</v>
      </c>
      <c r="H60" s="659">
        <v>500000000</v>
      </c>
      <c r="I60" s="659">
        <f t="shared" si="3"/>
        <v>-500000000</v>
      </c>
      <c r="J60" s="1380" t="s">
        <v>578</v>
      </c>
      <c r="K60" s="1756"/>
    </row>
    <row r="61" spans="2:11" ht="36.75" customHeight="1" x14ac:dyDescent="0.25">
      <c r="B61" s="1742"/>
      <c r="C61" s="771" t="s">
        <v>440</v>
      </c>
      <c r="D61" s="1618" t="s">
        <v>270</v>
      </c>
      <c r="E61" s="1620"/>
      <c r="F61" s="855" t="s">
        <v>271</v>
      </c>
      <c r="G61" s="660">
        <v>1045000000</v>
      </c>
      <c r="H61" s="660">
        <v>1545000000</v>
      </c>
      <c r="I61" s="660">
        <f t="shared" si="3"/>
        <v>500000000</v>
      </c>
      <c r="J61" s="1386" t="s">
        <v>574</v>
      </c>
      <c r="K61" s="1756"/>
    </row>
    <row r="62" spans="2:11" ht="50.25" customHeight="1" x14ac:dyDescent="0.25">
      <c r="B62" s="1742"/>
      <c r="C62" s="771" t="s">
        <v>441</v>
      </c>
      <c r="D62" s="1563" t="s">
        <v>308</v>
      </c>
      <c r="E62" s="1564"/>
      <c r="F62" s="767" t="s">
        <v>309</v>
      </c>
      <c r="G62" s="617">
        <v>2126082971</v>
      </c>
      <c r="H62" s="617">
        <v>600000000</v>
      </c>
      <c r="I62" s="617">
        <f t="shared" si="3"/>
        <v>-1526082971</v>
      </c>
      <c r="J62" s="1387" t="s">
        <v>579</v>
      </c>
      <c r="K62" s="1756"/>
    </row>
    <row r="63" spans="2:11" ht="25.5" customHeight="1" x14ac:dyDescent="0.25">
      <c r="B63" s="1742"/>
      <c r="C63" s="39" t="s">
        <v>442</v>
      </c>
      <c r="D63" s="1712" t="s">
        <v>317</v>
      </c>
      <c r="E63" s="1713"/>
      <c r="F63" s="772" t="s">
        <v>318</v>
      </c>
      <c r="G63" s="774">
        <v>100000000</v>
      </c>
      <c r="H63" s="774">
        <v>300000000</v>
      </c>
      <c r="I63" s="774">
        <f t="shared" si="3"/>
        <v>200000000</v>
      </c>
      <c r="J63" s="1388" t="s">
        <v>576</v>
      </c>
      <c r="K63" s="1756"/>
    </row>
    <row r="64" spans="2:11" ht="25.5" customHeight="1" x14ac:dyDescent="0.25">
      <c r="B64" s="1742"/>
      <c r="C64" s="771" t="s">
        <v>443</v>
      </c>
      <c r="D64" s="1582" t="s">
        <v>320</v>
      </c>
      <c r="E64" s="1583"/>
      <c r="F64" s="772" t="s">
        <v>321</v>
      </c>
      <c r="G64" s="774">
        <v>200000000</v>
      </c>
      <c r="H64" s="774">
        <v>600000000</v>
      </c>
      <c r="I64" s="774">
        <f t="shared" si="3"/>
        <v>400000000</v>
      </c>
      <c r="J64" s="1389" t="s">
        <v>576</v>
      </c>
      <c r="K64" s="1756"/>
    </row>
    <row r="65" spans="2:11" ht="35.25" customHeight="1" x14ac:dyDescent="0.25">
      <c r="B65" s="1742"/>
      <c r="C65" s="771" t="s">
        <v>444</v>
      </c>
      <c r="D65" s="1712" t="s">
        <v>322</v>
      </c>
      <c r="E65" s="1713"/>
      <c r="F65" s="772" t="s">
        <v>323</v>
      </c>
      <c r="G65" s="774">
        <v>100000000</v>
      </c>
      <c r="H65" s="774">
        <v>250000000</v>
      </c>
      <c r="I65" s="774">
        <f t="shared" si="3"/>
        <v>150000000</v>
      </c>
      <c r="J65" s="1390" t="s">
        <v>576</v>
      </c>
      <c r="K65" s="1756"/>
    </row>
    <row r="66" spans="2:11" ht="27.75" customHeight="1" x14ac:dyDescent="0.25">
      <c r="B66" s="1742"/>
      <c r="C66" s="771" t="s">
        <v>445</v>
      </c>
      <c r="D66" s="1582" t="s">
        <v>335</v>
      </c>
      <c r="E66" s="1583"/>
      <c r="F66" s="856" t="s">
        <v>336</v>
      </c>
      <c r="G66" s="663">
        <v>2000000000</v>
      </c>
      <c r="H66" s="663">
        <v>2776082971</v>
      </c>
      <c r="I66" s="663">
        <f t="shared" si="3"/>
        <v>776082971</v>
      </c>
      <c r="J66" s="1391" t="s">
        <v>577</v>
      </c>
      <c r="K66" s="1756"/>
    </row>
    <row r="67" spans="2:11" hidden="1" x14ac:dyDescent="0.25">
      <c r="B67" s="1742"/>
      <c r="C67" s="771" t="s">
        <v>446</v>
      </c>
      <c r="D67" s="1582"/>
      <c r="E67" s="1583"/>
      <c r="F67" s="856"/>
      <c r="G67" s="663"/>
      <c r="H67" s="663"/>
      <c r="I67" s="663"/>
      <c r="J67" s="1117"/>
      <c r="K67" s="1756"/>
    </row>
    <row r="68" spans="2:11" hidden="1" x14ac:dyDescent="0.25">
      <c r="B68" s="1742"/>
      <c r="C68" s="39" t="s">
        <v>447</v>
      </c>
      <c r="D68" s="1582"/>
      <c r="E68" s="1583"/>
      <c r="F68" s="856"/>
      <c r="G68" s="663"/>
      <c r="H68" s="663"/>
      <c r="I68" s="663"/>
      <c r="J68" s="1117"/>
      <c r="K68" s="1756"/>
    </row>
    <row r="69" spans="2:11" ht="4.5" customHeight="1" thickBot="1" x14ac:dyDescent="0.3">
      <c r="B69" s="1742"/>
      <c r="C69" s="420"/>
      <c r="D69" s="422"/>
      <c r="E69" s="423"/>
      <c r="F69" s="424"/>
      <c r="G69" s="672"/>
      <c r="H69" s="672"/>
      <c r="I69" s="672"/>
      <c r="J69" s="426"/>
      <c r="K69" s="1756"/>
    </row>
    <row r="70" spans="2:11" ht="3.75" customHeight="1" thickTop="1" x14ac:dyDescent="0.25">
      <c r="B70" s="1742"/>
      <c r="K70" s="1756"/>
    </row>
    <row r="84" spans="2:11" ht="15.75" x14ac:dyDescent="0.25">
      <c r="B84" s="1646" t="s">
        <v>532</v>
      </c>
      <c r="C84" s="1646"/>
      <c r="D84" s="1646"/>
      <c r="E84" s="1646"/>
      <c r="F84" s="1646"/>
      <c r="G84" s="1646"/>
      <c r="H84" s="1646"/>
      <c r="I84" s="1646"/>
      <c r="J84" s="1646"/>
      <c r="K84" s="1646"/>
    </row>
    <row r="85" spans="2:11" ht="15.75" x14ac:dyDescent="0.25">
      <c r="B85" s="1646" t="s">
        <v>1</v>
      </c>
      <c r="C85" s="1646"/>
      <c r="D85" s="1646"/>
      <c r="E85" s="1646"/>
      <c r="F85" s="1646"/>
      <c r="G85" s="1646"/>
      <c r="H85" s="1646"/>
      <c r="I85" s="1646"/>
      <c r="J85" s="1646"/>
      <c r="K85" s="1646"/>
    </row>
    <row r="86" spans="2:11" ht="15.75" x14ac:dyDescent="0.25">
      <c r="B86" s="1371"/>
      <c r="C86" s="452"/>
      <c r="D86" s="453"/>
      <c r="E86" s="454"/>
      <c r="F86" s="455"/>
      <c r="G86" s="457"/>
      <c r="H86" s="457"/>
      <c r="I86" s="457"/>
      <c r="J86" s="457"/>
      <c r="K86" s="458"/>
    </row>
    <row r="87" spans="2:11" ht="15.75" x14ac:dyDescent="0.25">
      <c r="B87" s="1371"/>
      <c r="C87" s="1369" t="s">
        <v>2</v>
      </c>
      <c r="D87" s="1505" t="s">
        <v>526</v>
      </c>
      <c r="E87" s="1505"/>
      <c r="F87" s="459"/>
      <c r="G87" s="457"/>
      <c r="H87" s="457"/>
      <c r="I87" s="457"/>
      <c r="J87" s="457"/>
      <c r="K87" s="458"/>
    </row>
    <row r="88" spans="2:11" ht="13.5" thickBot="1" x14ac:dyDescent="0.3">
      <c r="B88" s="1742"/>
      <c r="C88" s="6"/>
      <c r="D88" s="8"/>
      <c r="E88" s="9"/>
      <c r="F88" s="10"/>
      <c r="G88" s="12"/>
      <c r="H88" s="12"/>
      <c r="I88" s="12"/>
      <c r="J88" s="12"/>
      <c r="K88" s="1756"/>
    </row>
    <row r="89" spans="2:11" ht="13.5" thickTop="1" x14ac:dyDescent="0.25">
      <c r="B89" s="1742"/>
      <c r="C89" s="1757" t="s">
        <v>496</v>
      </c>
      <c r="D89" s="1759" t="s">
        <v>418</v>
      </c>
      <c r="E89" s="1760"/>
      <c r="F89" s="1763" t="s">
        <v>417</v>
      </c>
      <c r="G89" s="1765" t="s">
        <v>530</v>
      </c>
      <c r="H89" s="1765" t="s">
        <v>531</v>
      </c>
      <c r="I89" s="1767" t="s">
        <v>501</v>
      </c>
      <c r="J89" s="1774" t="s">
        <v>469</v>
      </c>
      <c r="K89" s="1756"/>
    </row>
    <row r="90" spans="2:11" ht="35.25" customHeight="1" x14ac:dyDescent="0.25">
      <c r="B90" s="1742"/>
      <c r="C90" s="1758"/>
      <c r="D90" s="1761"/>
      <c r="E90" s="1762"/>
      <c r="F90" s="1764"/>
      <c r="G90" s="1766"/>
      <c r="H90" s="1766"/>
      <c r="I90" s="1768"/>
      <c r="J90" s="1775"/>
      <c r="K90" s="1756"/>
    </row>
    <row r="91" spans="2:11" ht="16.5" x14ac:dyDescent="0.25">
      <c r="B91" s="1742"/>
      <c r="C91" s="1769" t="s">
        <v>4</v>
      </c>
      <c r="D91" s="1770"/>
      <c r="E91" s="1771"/>
      <c r="F91" s="1376"/>
      <c r="G91" s="1377">
        <f>SUM(G92:G110)</f>
        <v>83386082971</v>
      </c>
      <c r="H91" s="1377">
        <f>SUM(H92:H110)</f>
        <v>98386082971</v>
      </c>
      <c r="I91" s="1379">
        <f>SUM(I92:I110)</f>
        <v>15000000000</v>
      </c>
      <c r="J91" s="1392"/>
      <c r="K91" s="1756"/>
    </row>
    <row r="92" spans="2:11" ht="19.5" customHeight="1" x14ac:dyDescent="0.25">
      <c r="B92" s="1742"/>
      <c r="C92" s="49" t="s">
        <v>5</v>
      </c>
      <c r="D92" s="1714" t="s">
        <v>229</v>
      </c>
      <c r="E92" s="1715"/>
      <c r="F92" s="760" t="s">
        <v>230</v>
      </c>
      <c r="G92" s="647">
        <v>1700000000</v>
      </c>
      <c r="H92" s="647">
        <v>0</v>
      </c>
      <c r="I92" s="274">
        <f t="shared" ref="I92:I108" si="4">H92-G92</f>
        <v>-1700000000</v>
      </c>
      <c r="J92" s="1393"/>
      <c r="K92" s="1756"/>
    </row>
    <row r="93" spans="2:11" ht="19.5" customHeight="1" x14ac:dyDescent="0.25">
      <c r="B93" s="1742"/>
      <c r="C93" s="49" t="s">
        <v>10</v>
      </c>
      <c r="D93" s="1716" t="s">
        <v>220</v>
      </c>
      <c r="E93" s="1717"/>
      <c r="F93" s="763" t="s">
        <v>221</v>
      </c>
      <c r="G93" s="643">
        <v>1500000000</v>
      </c>
      <c r="H93" s="643">
        <v>0</v>
      </c>
      <c r="I93" s="241">
        <f t="shared" si="4"/>
        <v>-1500000000</v>
      </c>
      <c r="J93" s="1394"/>
      <c r="K93" s="1756"/>
    </row>
    <row r="94" spans="2:11" ht="19.5" customHeight="1" x14ac:dyDescent="0.25">
      <c r="B94" s="1742"/>
      <c r="C94" s="49" t="s">
        <v>13</v>
      </c>
      <c r="D94" s="1738" t="s">
        <v>69</v>
      </c>
      <c r="E94" s="1739"/>
      <c r="F94" s="469" t="s">
        <v>137</v>
      </c>
      <c r="G94" s="626">
        <v>300000000</v>
      </c>
      <c r="H94" s="626">
        <v>250000000</v>
      </c>
      <c r="I94" s="117">
        <f t="shared" si="4"/>
        <v>-50000000</v>
      </c>
      <c r="J94" s="1395"/>
      <c r="K94" s="1756"/>
    </row>
    <row r="95" spans="2:11" ht="19.5" customHeight="1" x14ac:dyDescent="0.25">
      <c r="B95" s="1742"/>
      <c r="C95" s="39" t="s">
        <v>16</v>
      </c>
      <c r="D95" s="1738" t="s">
        <v>78</v>
      </c>
      <c r="E95" s="1739"/>
      <c r="F95" s="469" t="s">
        <v>137</v>
      </c>
      <c r="G95" s="626">
        <v>750000000</v>
      </c>
      <c r="H95" s="626">
        <v>800000000</v>
      </c>
      <c r="I95" s="117">
        <f t="shared" si="4"/>
        <v>50000000</v>
      </c>
      <c r="J95" s="1395"/>
      <c r="K95" s="1756"/>
    </row>
    <row r="96" spans="2:11" ht="19.5" customHeight="1" x14ac:dyDescent="0.25">
      <c r="B96" s="1742"/>
      <c r="C96" s="39" t="s">
        <v>19</v>
      </c>
      <c r="D96" s="1582" t="s">
        <v>136</v>
      </c>
      <c r="E96" s="1583"/>
      <c r="F96" s="469" t="s">
        <v>137</v>
      </c>
      <c r="G96" s="626">
        <v>26300000000</v>
      </c>
      <c r="H96" s="626">
        <v>34000000000</v>
      </c>
      <c r="I96" s="117">
        <f t="shared" si="4"/>
        <v>7700000000</v>
      </c>
      <c r="J96" s="1395"/>
      <c r="K96" s="1756"/>
    </row>
    <row r="97" spans="2:11" ht="19.5" customHeight="1" x14ac:dyDescent="0.25">
      <c r="B97" s="1742"/>
      <c r="C97" s="39" t="s">
        <v>27</v>
      </c>
      <c r="D97" s="1582" t="s">
        <v>145</v>
      </c>
      <c r="E97" s="1583"/>
      <c r="F97" s="1370" t="s">
        <v>146</v>
      </c>
      <c r="G97" s="625">
        <v>21200000000</v>
      </c>
      <c r="H97" s="625">
        <v>25700000000</v>
      </c>
      <c r="I97" s="111">
        <f t="shared" si="4"/>
        <v>4500000000</v>
      </c>
      <c r="J97" s="1396"/>
      <c r="K97" s="1756"/>
    </row>
    <row r="98" spans="2:11" ht="19.5" customHeight="1" x14ac:dyDescent="0.25">
      <c r="B98" s="1742"/>
      <c r="C98" s="39" t="s">
        <v>30</v>
      </c>
      <c r="D98" s="1582" t="s">
        <v>167</v>
      </c>
      <c r="E98" s="1583"/>
      <c r="F98" s="469" t="s">
        <v>168</v>
      </c>
      <c r="G98" s="630">
        <v>11065000000</v>
      </c>
      <c r="H98" s="630">
        <v>12565000000</v>
      </c>
      <c r="I98" s="146">
        <f t="shared" si="4"/>
        <v>1500000000</v>
      </c>
      <c r="J98" s="1394"/>
      <c r="K98" s="1756"/>
    </row>
    <row r="99" spans="2:11" ht="19.5" customHeight="1" x14ac:dyDescent="0.25">
      <c r="B99" s="1742"/>
      <c r="C99" s="49" t="s">
        <v>8</v>
      </c>
      <c r="D99" s="1744" t="s">
        <v>172</v>
      </c>
      <c r="E99" s="1745"/>
      <c r="F99" s="760" t="s">
        <v>230</v>
      </c>
      <c r="G99" s="643">
        <v>3000000000</v>
      </c>
      <c r="H99" s="643">
        <f>6500000000-300000000</f>
        <v>6200000000</v>
      </c>
      <c r="I99" s="241">
        <f t="shared" si="4"/>
        <v>3200000000</v>
      </c>
      <c r="J99" s="1397"/>
      <c r="K99" s="1756"/>
    </row>
    <row r="100" spans="2:11" ht="19.5" customHeight="1" x14ac:dyDescent="0.25">
      <c r="B100" s="1742"/>
      <c r="C100" s="39" t="s">
        <v>22</v>
      </c>
      <c r="D100" s="1563" t="s">
        <v>105</v>
      </c>
      <c r="E100" s="1564"/>
      <c r="F100" s="74" t="s">
        <v>464</v>
      </c>
      <c r="G100" s="659">
        <v>0</v>
      </c>
      <c r="H100" s="659">
        <v>300000000</v>
      </c>
      <c r="I100" s="331">
        <f t="shared" si="4"/>
        <v>300000000</v>
      </c>
      <c r="J100" s="1394"/>
      <c r="K100" s="1756"/>
    </row>
    <row r="101" spans="2:11" ht="19.5" customHeight="1" x14ac:dyDescent="0.25">
      <c r="B101" s="1742"/>
      <c r="C101" s="771" t="s">
        <v>210</v>
      </c>
      <c r="D101" s="1563" t="s">
        <v>227</v>
      </c>
      <c r="E101" s="1564"/>
      <c r="F101" s="74" t="s">
        <v>464</v>
      </c>
      <c r="G101" s="659">
        <v>11000000000</v>
      </c>
      <c r="H101" s="659">
        <v>12000000000</v>
      </c>
      <c r="I101" s="331">
        <f t="shared" si="4"/>
        <v>1000000000</v>
      </c>
      <c r="J101" s="1394"/>
      <c r="K101" s="1756"/>
    </row>
    <row r="102" spans="2:11" ht="19.5" customHeight="1" x14ac:dyDescent="0.25">
      <c r="B102" s="1742"/>
      <c r="C102" s="771" t="s">
        <v>439</v>
      </c>
      <c r="D102" s="1563" t="s">
        <v>265</v>
      </c>
      <c r="E102" s="1564"/>
      <c r="F102" s="74" t="s">
        <v>464</v>
      </c>
      <c r="G102" s="659">
        <v>1000000000</v>
      </c>
      <c r="H102" s="659">
        <v>500000000</v>
      </c>
      <c r="I102" s="331">
        <f t="shared" si="4"/>
        <v>-500000000</v>
      </c>
      <c r="J102" s="1394"/>
      <c r="K102" s="1756"/>
    </row>
    <row r="103" spans="2:11" ht="19.5" customHeight="1" x14ac:dyDescent="0.25">
      <c r="B103" s="1742"/>
      <c r="C103" s="771" t="s">
        <v>440</v>
      </c>
      <c r="D103" s="1618" t="s">
        <v>270</v>
      </c>
      <c r="E103" s="1620"/>
      <c r="F103" s="855" t="s">
        <v>271</v>
      </c>
      <c r="G103" s="660">
        <v>1045000000</v>
      </c>
      <c r="H103" s="660">
        <v>1545000000</v>
      </c>
      <c r="I103" s="60">
        <f t="shared" si="4"/>
        <v>500000000</v>
      </c>
      <c r="J103" s="1398"/>
      <c r="K103" s="1756"/>
    </row>
    <row r="104" spans="2:11" ht="19.5" customHeight="1" x14ac:dyDescent="0.25">
      <c r="B104" s="1742"/>
      <c r="C104" s="771" t="s">
        <v>441</v>
      </c>
      <c r="D104" s="1563" t="s">
        <v>308</v>
      </c>
      <c r="E104" s="1564"/>
      <c r="F104" s="767" t="s">
        <v>309</v>
      </c>
      <c r="G104" s="617">
        <v>2126082971</v>
      </c>
      <c r="H104" s="617">
        <v>600000000</v>
      </c>
      <c r="I104" s="71">
        <f t="shared" si="4"/>
        <v>-1526082971</v>
      </c>
      <c r="J104" s="1399"/>
      <c r="K104" s="1756"/>
    </row>
    <row r="105" spans="2:11" ht="19.5" customHeight="1" x14ac:dyDescent="0.25">
      <c r="B105" s="1742"/>
      <c r="C105" s="39" t="s">
        <v>442</v>
      </c>
      <c r="D105" s="1712" t="s">
        <v>317</v>
      </c>
      <c r="E105" s="1713"/>
      <c r="F105" s="772" t="s">
        <v>318</v>
      </c>
      <c r="G105" s="774">
        <v>100000000</v>
      </c>
      <c r="H105" s="774">
        <v>300000000</v>
      </c>
      <c r="I105" s="775">
        <f t="shared" si="4"/>
        <v>200000000</v>
      </c>
      <c r="J105" s="1400"/>
      <c r="K105" s="1756"/>
    </row>
    <row r="106" spans="2:11" ht="19.5" customHeight="1" x14ac:dyDescent="0.25">
      <c r="B106" s="1742"/>
      <c r="C106" s="771" t="s">
        <v>443</v>
      </c>
      <c r="D106" s="1582" t="s">
        <v>320</v>
      </c>
      <c r="E106" s="1583"/>
      <c r="F106" s="772" t="s">
        <v>321</v>
      </c>
      <c r="G106" s="774">
        <v>200000000</v>
      </c>
      <c r="H106" s="774">
        <v>600000000</v>
      </c>
      <c r="I106" s="775">
        <f t="shared" si="4"/>
        <v>400000000</v>
      </c>
      <c r="J106" s="1401"/>
      <c r="K106" s="1756"/>
    </row>
    <row r="107" spans="2:11" ht="27" customHeight="1" x14ac:dyDescent="0.25">
      <c r="B107" s="1742"/>
      <c r="C107" s="771" t="s">
        <v>444</v>
      </c>
      <c r="D107" s="1712" t="s">
        <v>322</v>
      </c>
      <c r="E107" s="1713"/>
      <c r="F107" s="772" t="s">
        <v>323</v>
      </c>
      <c r="G107" s="774">
        <v>100000000</v>
      </c>
      <c r="H107" s="774">
        <v>250000000</v>
      </c>
      <c r="I107" s="775">
        <f t="shared" si="4"/>
        <v>150000000</v>
      </c>
      <c r="J107" s="1402"/>
      <c r="K107" s="1756"/>
    </row>
    <row r="108" spans="2:11" ht="19.5" customHeight="1" x14ac:dyDescent="0.25">
      <c r="B108" s="1742"/>
      <c r="C108" s="771" t="s">
        <v>445</v>
      </c>
      <c r="D108" s="1582" t="s">
        <v>335</v>
      </c>
      <c r="E108" s="1583"/>
      <c r="F108" s="856" t="s">
        <v>336</v>
      </c>
      <c r="G108" s="663">
        <v>2000000000</v>
      </c>
      <c r="H108" s="663">
        <v>2776082971</v>
      </c>
      <c r="I108" s="372">
        <f t="shared" si="4"/>
        <v>776082971</v>
      </c>
      <c r="J108" s="1403"/>
      <c r="K108" s="1756"/>
    </row>
    <row r="109" spans="2:11" hidden="1" x14ac:dyDescent="0.25">
      <c r="B109" s="1742"/>
      <c r="C109" s="771" t="s">
        <v>446</v>
      </c>
      <c r="D109" s="1582"/>
      <c r="E109" s="1583"/>
      <c r="F109" s="856"/>
      <c r="G109" s="663"/>
      <c r="H109" s="663"/>
      <c r="I109" s="372"/>
      <c r="J109" s="1404"/>
      <c r="K109" s="1756"/>
    </row>
    <row r="110" spans="2:11" hidden="1" x14ac:dyDescent="0.25">
      <c r="B110" s="1742"/>
      <c r="C110" s="39" t="s">
        <v>447</v>
      </c>
      <c r="D110" s="1582"/>
      <c r="E110" s="1583"/>
      <c r="F110" s="856"/>
      <c r="G110" s="663"/>
      <c r="H110" s="663"/>
      <c r="I110" s="372"/>
      <c r="J110" s="1404"/>
      <c r="K110" s="1756"/>
    </row>
    <row r="111" spans="2:11" ht="4.5" customHeight="1" thickBot="1" x14ac:dyDescent="0.3">
      <c r="B111" s="1742"/>
      <c r="C111" s="420"/>
      <c r="D111" s="422"/>
      <c r="E111" s="423"/>
      <c r="F111" s="424"/>
      <c r="G111" s="672"/>
      <c r="H111" s="672"/>
      <c r="I111" s="426"/>
      <c r="J111" s="1405"/>
      <c r="K111" s="1756"/>
    </row>
    <row r="112" spans="2:11" ht="13.5" thickTop="1" x14ac:dyDescent="0.25">
      <c r="B112" s="1742"/>
      <c r="K112" s="1756"/>
    </row>
  </sheetData>
  <mergeCells count="97">
    <mergeCell ref="D110:E110"/>
    <mergeCell ref="D105:E105"/>
    <mergeCell ref="D106:E106"/>
    <mergeCell ref="D107:E107"/>
    <mergeCell ref="D108:E108"/>
    <mergeCell ref="D109:E109"/>
    <mergeCell ref="D100:E100"/>
    <mergeCell ref="D101:E101"/>
    <mergeCell ref="D102:E102"/>
    <mergeCell ref="D103:E103"/>
    <mergeCell ref="D104:E104"/>
    <mergeCell ref="D95:E95"/>
    <mergeCell ref="D96:E96"/>
    <mergeCell ref="D97:E97"/>
    <mergeCell ref="D98:E98"/>
    <mergeCell ref="D99:E99"/>
    <mergeCell ref="B84:K84"/>
    <mergeCell ref="B85:K85"/>
    <mergeCell ref="D87:E87"/>
    <mergeCell ref="B88:B112"/>
    <mergeCell ref="K88:K112"/>
    <mergeCell ref="C89:C90"/>
    <mergeCell ref="D89:E90"/>
    <mergeCell ref="F89:F90"/>
    <mergeCell ref="G89:G90"/>
    <mergeCell ref="H89:H90"/>
    <mergeCell ref="I89:I90"/>
    <mergeCell ref="J89:J90"/>
    <mergeCell ref="C91:E91"/>
    <mergeCell ref="D92:E92"/>
    <mergeCell ref="D93:E93"/>
    <mergeCell ref="D94:E94"/>
    <mergeCell ref="B7:B31"/>
    <mergeCell ref="K7:K31"/>
    <mergeCell ref="C8:C9"/>
    <mergeCell ref="D8:E9"/>
    <mergeCell ref="F8:F9"/>
    <mergeCell ref="G8:G9"/>
    <mergeCell ref="D12:E12"/>
    <mergeCell ref="C10:E10"/>
    <mergeCell ref="D11:E11"/>
    <mergeCell ref="D24:E24"/>
    <mergeCell ref="D13:E13"/>
    <mergeCell ref="D14:E14"/>
    <mergeCell ref="D15:E15"/>
    <mergeCell ref="D16:E16"/>
    <mergeCell ref="D17:E17"/>
    <mergeCell ref="D18:E18"/>
    <mergeCell ref="C2:I2"/>
    <mergeCell ref="C3:K3"/>
    <mergeCell ref="C4:K4"/>
    <mergeCell ref="D6:E6"/>
    <mergeCell ref="H8:H9"/>
    <mergeCell ref="I8:I9"/>
    <mergeCell ref="J8:J9"/>
    <mergeCell ref="D19:E19"/>
    <mergeCell ref="D20:E20"/>
    <mergeCell ref="D21:E21"/>
    <mergeCell ref="D22:E22"/>
    <mergeCell ref="D23:E23"/>
    <mergeCell ref="D25:E25"/>
    <mergeCell ref="D26:E26"/>
    <mergeCell ref="D27:E27"/>
    <mergeCell ref="D28:E28"/>
    <mergeCell ref="D29:E29"/>
    <mergeCell ref="D45:E45"/>
    <mergeCell ref="B46:B70"/>
    <mergeCell ref="K46:K70"/>
    <mergeCell ref="C47:C48"/>
    <mergeCell ref="D47:E48"/>
    <mergeCell ref="F47:F48"/>
    <mergeCell ref="G47:G48"/>
    <mergeCell ref="H47:H48"/>
    <mergeCell ref="I47:I48"/>
    <mergeCell ref="D59:E59"/>
    <mergeCell ref="J47:J48"/>
    <mergeCell ref="C49:E49"/>
    <mergeCell ref="D50:E50"/>
    <mergeCell ref="D51:E51"/>
    <mergeCell ref="D52:E52"/>
    <mergeCell ref="D53:E53"/>
    <mergeCell ref="D66:E66"/>
    <mergeCell ref="D67:E67"/>
    <mergeCell ref="D68:E68"/>
    <mergeCell ref="B42:K42"/>
    <mergeCell ref="B43:K43"/>
    <mergeCell ref="D60:E60"/>
    <mergeCell ref="D61:E61"/>
    <mergeCell ref="D62:E62"/>
    <mergeCell ref="D63:E63"/>
    <mergeCell ref="D64:E64"/>
    <mergeCell ref="D65:E65"/>
    <mergeCell ref="D54:E54"/>
    <mergeCell ref="D55:E55"/>
    <mergeCell ref="D56:E56"/>
    <mergeCell ref="D57:E57"/>
    <mergeCell ref="D58:E58"/>
  </mergeCells>
  <printOptions horizontalCentered="1"/>
  <pageMargins left="0.43307086614173229" right="0.43307086614173229" top="0.59055118110236227" bottom="0.39370078740157483" header="0" footer="0"/>
  <pageSetup paperSize="200" scale="78" orientation="landscape" useFirstPageNumber="1" r:id="rId1"/>
  <headerFooter>
    <oddFooter>&amp;L&amp;"Cambria,Italic"&amp;7&amp;K05-049&amp;F / &amp;A&amp;C&amp;"Cambria,Italic"&amp;7&amp;K04-021Hal &amp;P dari &amp;N&amp;R&amp;"-,Italic"&amp;7&amp;K09-022&amp;D /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Q247"/>
  <sheetViews>
    <sheetView view="pageBreakPreview" topLeftCell="A189" zoomScale="70" zoomScaleNormal="85" zoomScaleSheetLayoutView="70" workbookViewId="0">
      <selection activeCell="K212" sqref="K212"/>
    </sheetView>
  </sheetViews>
  <sheetFormatPr defaultRowHeight="12.75" x14ac:dyDescent="0.25"/>
  <cols>
    <col min="1" max="1" width="9" style="53" customWidth="1"/>
    <col min="2" max="2" width="0.5703125" style="13" customWidth="1"/>
    <col min="3" max="3" width="3.28515625" style="427" customWidth="1"/>
    <col min="4" max="4" width="4.140625" style="428" customWidth="1"/>
    <col min="5" max="5" width="3.5703125" style="428" customWidth="1"/>
    <col min="6" max="6" width="2.7109375" style="428" customWidth="1"/>
    <col min="7" max="7" width="56.7109375" style="429" customWidth="1"/>
    <col min="8" max="8" width="52" style="430" customWidth="1"/>
    <col min="9" max="9" width="9.85546875" style="431" customWidth="1"/>
    <col min="10" max="11" width="18.42578125" style="432" customWidth="1"/>
    <col min="12" max="12" width="0.5703125" style="291" customWidth="1"/>
    <col min="13" max="13" width="17.5703125" style="431" customWidth="1"/>
    <col min="14" max="14" width="4.85546875" style="500" customWidth="1"/>
    <col min="15" max="17" width="14.140625" style="53" customWidth="1"/>
    <col min="18" max="26" width="10.5703125" style="53" customWidth="1"/>
    <col min="27" max="232" width="9.140625" style="53"/>
    <col min="233" max="233" width="1.7109375" style="53" customWidth="1"/>
    <col min="234" max="235" width="4.7109375" style="53" customWidth="1"/>
    <col min="236" max="236" width="54.140625" style="53" customWidth="1"/>
    <col min="237" max="237" width="52" style="53" customWidth="1"/>
    <col min="238" max="238" width="5.28515625" style="53" customWidth="1"/>
    <col min="239" max="239" width="5.85546875" style="53" bestFit="1" customWidth="1"/>
    <col min="240" max="240" width="16.42578125" style="53" customWidth="1"/>
    <col min="241" max="241" width="4.5703125" style="53" customWidth="1"/>
    <col min="242" max="242" width="14.140625" style="53" customWidth="1"/>
    <col min="243" max="243" width="27.140625" style="53" customWidth="1"/>
    <col min="244" max="244" width="16.28515625" style="53" customWidth="1"/>
    <col min="245" max="245" width="13.85546875" style="53" customWidth="1"/>
    <col min="246" max="488" width="9.140625" style="53"/>
    <col min="489" max="489" width="1.7109375" style="53" customWidth="1"/>
    <col min="490" max="491" width="4.7109375" style="53" customWidth="1"/>
    <col min="492" max="492" width="54.140625" style="53" customWidth="1"/>
    <col min="493" max="493" width="52" style="53" customWidth="1"/>
    <col min="494" max="494" width="5.28515625" style="53" customWidth="1"/>
    <col min="495" max="495" width="5.85546875" style="53" bestFit="1" customWidth="1"/>
    <col min="496" max="496" width="16.42578125" style="53" customWidth="1"/>
    <col min="497" max="497" width="4.5703125" style="53" customWidth="1"/>
    <col min="498" max="498" width="14.140625" style="53" customWidth="1"/>
    <col min="499" max="499" width="27.140625" style="53" customWidth="1"/>
    <col min="500" max="500" width="16.28515625" style="53" customWidth="1"/>
    <col min="501" max="501" width="13.85546875" style="53" customWidth="1"/>
    <col min="502" max="744" width="9.140625" style="53"/>
    <col min="745" max="745" width="1.7109375" style="53" customWidth="1"/>
    <col min="746" max="747" width="4.7109375" style="53" customWidth="1"/>
    <col min="748" max="748" width="54.140625" style="53" customWidth="1"/>
    <col min="749" max="749" width="52" style="53" customWidth="1"/>
    <col min="750" max="750" width="5.28515625" style="53" customWidth="1"/>
    <col min="751" max="751" width="5.85546875" style="53" bestFit="1" customWidth="1"/>
    <col min="752" max="752" width="16.42578125" style="53" customWidth="1"/>
    <col min="753" max="753" width="4.5703125" style="53" customWidth="1"/>
    <col min="754" max="754" width="14.140625" style="53" customWidth="1"/>
    <col min="755" max="755" width="27.140625" style="53" customWidth="1"/>
    <col min="756" max="756" width="16.28515625" style="53" customWidth="1"/>
    <col min="757" max="757" width="13.85546875" style="53" customWidth="1"/>
    <col min="758" max="1000" width="9.140625" style="53"/>
    <col min="1001" max="1001" width="1.7109375" style="53" customWidth="1"/>
    <col min="1002" max="1003" width="4.7109375" style="53" customWidth="1"/>
    <col min="1004" max="1004" width="54.140625" style="53" customWidth="1"/>
    <col min="1005" max="1005" width="52" style="53" customWidth="1"/>
    <col min="1006" max="1006" width="5.28515625" style="53" customWidth="1"/>
    <col min="1007" max="1007" width="5.85546875" style="53" bestFit="1" customWidth="1"/>
    <col min="1008" max="1008" width="16.42578125" style="53" customWidth="1"/>
    <col min="1009" max="1009" width="4.5703125" style="53" customWidth="1"/>
    <col min="1010" max="1010" width="14.140625" style="53" customWidth="1"/>
    <col min="1011" max="1011" width="27.140625" style="53" customWidth="1"/>
    <col min="1012" max="1012" width="16.28515625" style="53" customWidth="1"/>
    <col min="1013" max="1013" width="13.85546875" style="53" customWidth="1"/>
    <col min="1014" max="1256" width="9.140625" style="53"/>
    <col min="1257" max="1257" width="1.7109375" style="53" customWidth="1"/>
    <col min="1258" max="1259" width="4.7109375" style="53" customWidth="1"/>
    <col min="1260" max="1260" width="54.140625" style="53" customWidth="1"/>
    <col min="1261" max="1261" width="52" style="53" customWidth="1"/>
    <col min="1262" max="1262" width="5.28515625" style="53" customWidth="1"/>
    <col min="1263" max="1263" width="5.85546875" style="53" bestFit="1" customWidth="1"/>
    <col min="1264" max="1264" width="16.42578125" style="53" customWidth="1"/>
    <col min="1265" max="1265" width="4.5703125" style="53" customWidth="1"/>
    <col min="1266" max="1266" width="14.140625" style="53" customWidth="1"/>
    <col min="1267" max="1267" width="27.140625" style="53" customWidth="1"/>
    <col min="1268" max="1268" width="16.28515625" style="53" customWidth="1"/>
    <col min="1269" max="1269" width="13.85546875" style="53" customWidth="1"/>
    <col min="1270" max="1512" width="9.140625" style="53"/>
    <col min="1513" max="1513" width="1.7109375" style="53" customWidth="1"/>
    <col min="1514" max="1515" width="4.7109375" style="53" customWidth="1"/>
    <col min="1516" max="1516" width="54.140625" style="53" customWidth="1"/>
    <col min="1517" max="1517" width="52" style="53" customWidth="1"/>
    <col min="1518" max="1518" width="5.28515625" style="53" customWidth="1"/>
    <col min="1519" max="1519" width="5.85546875" style="53" bestFit="1" customWidth="1"/>
    <col min="1520" max="1520" width="16.42578125" style="53" customWidth="1"/>
    <col min="1521" max="1521" width="4.5703125" style="53" customWidth="1"/>
    <col min="1522" max="1522" width="14.140625" style="53" customWidth="1"/>
    <col min="1523" max="1523" width="27.140625" style="53" customWidth="1"/>
    <col min="1524" max="1524" width="16.28515625" style="53" customWidth="1"/>
    <col min="1525" max="1525" width="13.85546875" style="53" customWidth="1"/>
    <col min="1526" max="1768" width="9.140625" style="53"/>
    <col min="1769" max="1769" width="1.7109375" style="53" customWidth="1"/>
    <col min="1770" max="1771" width="4.7109375" style="53" customWidth="1"/>
    <col min="1772" max="1772" width="54.140625" style="53" customWidth="1"/>
    <col min="1773" max="1773" width="52" style="53" customWidth="1"/>
    <col min="1774" max="1774" width="5.28515625" style="53" customWidth="1"/>
    <col min="1775" max="1775" width="5.85546875" style="53" bestFit="1" customWidth="1"/>
    <col min="1776" max="1776" width="16.42578125" style="53" customWidth="1"/>
    <col min="1777" max="1777" width="4.5703125" style="53" customWidth="1"/>
    <col min="1778" max="1778" width="14.140625" style="53" customWidth="1"/>
    <col min="1779" max="1779" width="27.140625" style="53" customWidth="1"/>
    <col min="1780" max="1780" width="16.28515625" style="53" customWidth="1"/>
    <col min="1781" max="1781" width="13.85546875" style="53" customWidth="1"/>
    <col min="1782" max="2024" width="9.140625" style="53"/>
    <col min="2025" max="2025" width="1.7109375" style="53" customWidth="1"/>
    <col min="2026" max="2027" width="4.7109375" style="53" customWidth="1"/>
    <col min="2028" max="2028" width="54.140625" style="53" customWidth="1"/>
    <col min="2029" max="2029" width="52" style="53" customWidth="1"/>
    <col min="2030" max="2030" width="5.28515625" style="53" customWidth="1"/>
    <col min="2031" max="2031" width="5.85546875" style="53" bestFit="1" customWidth="1"/>
    <col min="2032" max="2032" width="16.42578125" style="53" customWidth="1"/>
    <col min="2033" max="2033" width="4.5703125" style="53" customWidth="1"/>
    <col min="2034" max="2034" width="14.140625" style="53" customWidth="1"/>
    <col min="2035" max="2035" width="27.140625" style="53" customWidth="1"/>
    <col min="2036" max="2036" width="16.28515625" style="53" customWidth="1"/>
    <col min="2037" max="2037" width="13.85546875" style="53" customWidth="1"/>
    <col min="2038" max="2280" width="9.140625" style="53"/>
    <col min="2281" max="2281" width="1.7109375" style="53" customWidth="1"/>
    <col min="2282" max="2283" width="4.7109375" style="53" customWidth="1"/>
    <col min="2284" max="2284" width="54.140625" style="53" customWidth="1"/>
    <col min="2285" max="2285" width="52" style="53" customWidth="1"/>
    <col min="2286" max="2286" width="5.28515625" style="53" customWidth="1"/>
    <col min="2287" max="2287" width="5.85546875" style="53" bestFit="1" customWidth="1"/>
    <col min="2288" max="2288" width="16.42578125" style="53" customWidth="1"/>
    <col min="2289" max="2289" width="4.5703125" style="53" customWidth="1"/>
    <col min="2290" max="2290" width="14.140625" style="53" customWidth="1"/>
    <col min="2291" max="2291" width="27.140625" style="53" customWidth="1"/>
    <col min="2292" max="2292" width="16.28515625" style="53" customWidth="1"/>
    <col min="2293" max="2293" width="13.85546875" style="53" customWidth="1"/>
    <col min="2294" max="2536" width="9.140625" style="53"/>
    <col min="2537" max="2537" width="1.7109375" style="53" customWidth="1"/>
    <col min="2538" max="2539" width="4.7109375" style="53" customWidth="1"/>
    <col min="2540" max="2540" width="54.140625" style="53" customWidth="1"/>
    <col min="2541" max="2541" width="52" style="53" customWidth="1"/>
    <col min="2542" max="2542" width="5.28515625" style="53" customWidth="1"/>
    <col min="2543" max="2543" width="5.85546875" style="53" bestFit="1" customWidth="1"/>
    <col min="2544" max="2544" width="16.42578125" style="53" customWidth="1"/>
    <col min="2545" max="2545" width="4.5703125" style="53" customWidth="1"/>
    <col min="2546" max="2546" width="14.140625" style="53" customWidth="1"/>
    <col min="2547" max="2547" width="27.140625" style="53" customWidth="1"/>
    <col min="2548" max="2548" width="16.28515625" style="53" customWidth="1"/>
    <col min="2549" max="2549" width="13.85546875" style="53" customWidth="1"/>
    <col min="2550" max="2792" width="9.140625" style="53"/>
    <col min="2793" max="2793" width="1.7109375" style="53" customWidth="1"/>
    <col min="2794" max="2795" width="4.7109375" style="53" customWidth="1"/>
    <col min="2796" max="2796" width="54.140625" style="53" customWidth="1"/>
    <col min="2797" max="2797" width="52" style="53" customWidth="1"/>
    <col min="2798" max="2798" width="5.28515625" style="53" customWidth="1"/>
    <col min="2799" max="2799" width="5.85546875" style="53" bestFit="1" customWidth="1"/>
    <col min="2800" max="2800" width="16.42578125" style="53" customWidth="1"/>
    <col min="2801" max="2801" width="4.5703125" style="53" customWidth="1"/>
    <col min="2802" max="2802" width="14.140625" style="53" customWidth="1"/>
    <col min="2803" max="2803" width="27.140625" style="53" customWidth="1"/>
    <col min="2804" max="2804" width="16.28515625" style="53" customWidth="1"/>
    <col min="2805" max="2805" width="13.85546875" style="53" customWidth="1"/>
    <col min="2806" max="3048" width="9.140625" style="53"/>
    <col min="3049" max="3049" width="1.7109375" style="53" customWidth="1"/>
    <col min="3050" max="3051" width="4.7109375" style="53" customWidth="1"/>
    <col min="3052" max="3052" width="54.140625" style="53" customWidth="1"/>
    <col min="3053" max="3053" width="52" style="53" customWidth="1"/>
    <col min="3054" max="3054" width="5.28515625" style="53" customWidth="1"/>
    <col min="3055" max="3055" width="5.85546875" style="53" bestFit="1" customWidth="1"/>
    <col min="3056" max="3056" width="16.42578125" style="53" customWidth="1"/>
    <col min="3057" max="3057" width="4.5703125" style="53" customWidth="1"/>
    <col min="3058" max="3058" width="14.140625" style="53" customWidth="1"/>
    <col min="3059" max="3059" width="27.140625" style="53" customWidth="1"/>
    <col min="3060" max="3060" width="16.28515625" style="53" customWidth="1"/>
    <col min="3061" max="3061" width="13.85546875" style="53" customWidth="1"/>
    <col min="3062" max="3304" width="9.140625" style="53"/>
    <col min="3305" max="3305" width="1.7109375" style="53" customWidth="1"/>
    <col min="3306" max="3307" width="4.7109375" style="53" customWidth="1"/>
    <col min="3308" max="3308" width="54.140625" style="53" customWidth="1"/>
    <col min="3309" max="3309" width="52" style="53" customWidth="1"/>
    <col min="3310" max="3310" width="5.28515625" style="53" customWidth="1"/>
    <col min="3311" max="3311" width="5.85546875" style="53" bestFit="1" customWidth="1"/>
    <col min="3312" max="3312" width="16.42578125" style="53" customWidth="1"/>
    <col min="3313" max="3313" width="4.5703125" style="53" customWidth="1"/>
    <col min="3314" max="3314" width="14.140625" style="53" customWidth="1"/>
    <col min="3315" max="3315" width="27.140625" style="53" customWidth="1"/>
    <col min="3316" max="3316" width="16.28515625" style="53" customWidth="1"/>
    <col min="3317" max="3317" width="13.85546875" style="53" customWidth="1"/>
    <col min="3318" max="3560" width="9.140625" style="53"/>
    <col min="3561" max="3561" width="1.7109375" style="53" customWidth="1"/>
    <col min="3562" max="3563" width="4.7109375" style="53" customWidth="1"/>
    <col min="3564" max="3564" width="54.140625" style="53" customWidth="1"/>
    <col min="3565" max="3565" width="52" style="53" customWidth="1"/>
    <col min="3566" max="3566" width="5.28515625" style="53" customWidth="1"/>
    <col min="3567" max="3567" width="5.85546875" style="53" bestFit="1" customWidth="1"/>
    <col min="3568" max="3568" width="16.42578125" style="53" customWidth="1"/>
    <col min="3569" max="3569" width="4.5703125" style="53" customWidth="1"/>
    <col min="3570" max="3570" width="14.140625" style="53" customWidth="1"/>
    <col min="3571" max="3571" width="27.140625" style="53" customWidth="1"/>
    <col min="3572" max="3572" width="16.28515625" style="53" customWidth="1"/>
    <col min="3573" max="3573" width="13.85546875" style="53" customWidth="1"/>
    <col min="3574" max="3816" width="9.140625" style="53"/>
    <col min="3817" max="3817" width="1.7109375" style="53" customWidth="1"/>
    <col min="3818" max="3819" width="4.7109375" style="53" customWidth="1"/>
    <col min="3820" max="3820" width="54.140625" style="53" customWidth="1"/>
    <col min="3821" max="3821" width="52" style="53" customWidth="1"/>
    <col min="3822" max="3822" width="5.28515625" style="53" customWidth="1"/>
    <col min="3823" max="3823" width="5.85546875" style="53" bestFit="1" customWidth="1"/>
    <col min="3824" max="3824" width="16.42578125" style="53" customWidth="1"/>
    <col min="3825" max="3825" width="4.5703125" style="53" customWidth="1"/>
    <col min="3826" max="3826" width="14.140625" style="53" customWidth="1"/>
    <col min="3827" max="3827" width="27.140625" style="53" customWidth="1"/>
    <col min="3828" max="3828" width="16.28515625" style="53" customWidth="1"/>
    <col min="3829" max="3829" width="13.85546875" style="53" customWidth="1"/>
    <col min="3830" max="4072" width="9.140625" style="53"/>
    <col min="4073" max="4073" width="1.7109375" style="53" customWidth="1"/>
    <col min="4074" max="4075" width="4.7109375" style="53" customWidth="1"/>
    <col min="4076" max="4076" width="54.140625" style="53" customWidth="1"/>
    <col min="4077" max="4077" width="52" style="53" customWidth="1"/>
    <col min="4078" max="4078" width="5.28515625" style="53" customWidth="1"/>
    <col min="4079" max="4079" width="5.85546875" style="53" bestFit="1" customWidth="1"/>
    <col min="4080" max="4080" width="16.42578125" style="53" customWidth="1"/>
    <col min="4081" max="4081" width="4.5703125" style="53" customWidth="1"/>
    <col min="4082" max="4082" width="14.140625" style="53" customWidth="1"/>
    <col min="4083" max="4083" width="27.140625" style="53" customWidth="1"/>
    <col min="4084" max="4084" width="16.28515625" style="53" customWidth="1"/>
    <col min="4085" max="4085" width="13.85546875" style="53" customWidth="1"/>
    <col min="4086" max="4328" width="9.140625" style="53"/>
    <col min="4329" max="4329" width="1.7109375" style="53" customWidth="1"/>
    <col min="4330" max="4331" width="4.7109375" style="53" customWidth="1"/>
    <col min="4332" max="4332" width="54.140625" style="53" customWidth="1"/>
    <col min="4333" max="4333" width="52" style="53" customWidth="1"/>
    <col min="4334" max="4334" width="5.28515625" style="53" customWidth="1"/>
    <col min="4335" max="4335" width="5.85546875" style="53" bestFit="1" customWidth="1"/>
    <col min="4336" max="4336" width="16.42578125" style="53" customWidth="1"/>
    <col min="4337" max="4337" width="4.5703125" style="53" customWidth="1"/>
    <col min="4338" max="4338" width="14.140625" style="53" customWidth="1"/>
    <col min="4339" max="4339" width="27.140625" style="53" customWidth="1"/>
    <col min="4340" max="4340" width="16.28515625" style="53" customWidth="1"/>
    <col min="4341" max="4341" width="13.85546875" style="53" customWidth="1"/>
    <col min="4342" max="4584" width="9.140625" style="53"/>
    <col min="4585" max="4585" width="1.7109375" style="53" customWidth="1"/>
    <col min="4586" max="4587" width="4.7109375" style="53" customWidth="1"/>
    <col min="4588" max="4588" width="54.140625" style="53" customWidth="1"/>
    <col min="4589" max="4589" width="52" style="53" customWidth="1"/>
    <col min="4590" max="4590" width="5.28515625" style="53" customWidth="1"/>
    <col min="4591" max="4591" width="5.85546875" style="53" bestFit="1" customWidth="1"/>
    <col min="4592" max="4592" width="16.42578125" style="53" customWidth="1"/>
    <col min="4593" max="4593" width="4.5703125" style="53" customWidth="1"/>
    <col min="4594" max="4594" width="14.140625" style="53" customWidth="1"/>
    <col min="4595" max="4595" width="27.140625" style="53" customWidth="1"/>
    <col min="4596" max="4596" width="16.28515625" style="53" customWidth="1"/>
    <col min="4597" max="4597" width="13.85546875" style="53" customWidth="1"/>
    <col min="4598" max="4840" width="9.140625" style="53"/>
    <col min="4841" max="4841" width="1.7109375" style="53" customWidth="1"/>
    <col min="4842" max="4843" width="4.7109375" style="53" customWidth="1"/>
    <col min="4844" max="4844" width="54.140625" style="53" customWidth="1"/>
    <col min="4845" max="4845" width="52" style="53" customWidth="1"/>
    <col min="4846" max="4846" width="5.28515625" style="53" customWidth="1"/>
    <col min="4847" max="4847" width="5.85546875" style="53" bestFit="1" customWidth="1"/>
    <col min="4848" max="4848" width="16.42578125" style="53" customWidth="1"/>
    <col min="4849" max="4849" width="4.5703125" style="53" customWidth="1"/>
    <col min="4850" max="4850" width="14.140625" style="53" customWidth="1"/>
    <col min="4851" max="4851" width="27.140625" style="53" customWidth="1"/>
    <col min="4852" max="4852" width="16.28515625" style="53" customWidth="1"/>
    <col min="4853" max="4853" width="13.85546875" style="53" customWidth="1"/>
    <col min="4854" max="5096" width="9.140625" style="53"/>
    <col min="5097" max="5097" width="1.7109375" style="53" customWidth="1"/>
    <col min="5098" max="5099" width="4.7109375" style="53" customWidth="1"/>
    <col min="5100" max="5100" width="54.140625" style="53" customWidth="1"/>
    <col min="5101" max="5101" width="52" style="53" customWidth="1"/>
    <col min="5102" max="5102" width="5.28515625" style="53" customWidth="1"/>
    <col min="5103" max="5103" width="5.85546875" style="53" bestFit="1" customWidth="1"/>
    <col min="5104" max="5104" width="16.42578125" style="53" customWidth="1"/>
    <col min="5105" max="5105" width="4.5703125" style="53" customWidth="1"/>
    <col min="5106" max="5106" width="14.140625" style="53" customWidth="1"/>
    <col min="5107" max="5107" width="27.140625" style="53" customWidth="1"/>
    <col min="5108" max="5108" width="16.28515625" style="53" customWidth="1"/>
    <col min="5109" max="5109" width="13.85546875" style="53" customWidth="1"/>
    <col min="5110" max="5352" width="9.140625" style="53"/>
    <col min="5353" max="5353" width="1.7109375" style="53" customWidth="1"/>
    <col min="5354" max="5355" width="4.7109375" style="53" customWidth="1"/>
    <col min="5356" max="5356" width="54.140625" style="53" customWidth="1"/>
    <col min="5357" max="5357" width="52" style="53" customWidth="1"/>
    <col min="5358" max="5358" width="5.28515625" style="53" customWidth="1"/>
    <col min="5359" max="5359" width="5.85546875" style="53" bestFit="1" customWidth="1"/>
    <col min="5360" max="5360" width="16.42578125" style="53" customWidth="1"/>
    <col min="5361" max="5361" width="4.5703125" style="53" customWidth="1"/>
    <col min="5362" max="5362" width="14.140625" style="53" customWidth="1"/>
    <col min="5363" max="5363" width="27.140625" style="53" customWidth="1"/>
    <col min="5364" max="5364" width="16.28515625" style="53" customWidth="1"/>
    <col min="5365" max="5365" width="13.85546875" style="53" customWidth="1"/>
    <col min="5366" max="5608" width="9.140625" style="53"/>
    <col min="5609" max="5609" width="1.7109375" style="53" customWidth="1"/>
    <col min="5610" max="5611" width="4.7109375" style="53" customWidth="1"/>
    <col min="5612" max="5612" width="54.140625" style="53" customWidth="1"/>
    <col min="5613" max="5613" width="52" style="53" customWidth="1"/>
    <col min="5614" max="5614" width="5.28515625" style="53" customWidth="1"/>
    <col min="5615" max="5615" width="5.85546875" style="53" bestFit="1" customWidth="1"/>
    <col min="5616" max="5616" width="16.42578125" style="53" customWidth="1"/>
    <col min="5617" max="5617" width="4.5703125" style="53" customWidth="1"/>
    <col min="5618" max="5618" width="14.140625" style="53" customWidth="1"/>
    <col min="5619" max="5619" width="27.140625" style="53" customWidth="1"/>
    <col min="5620" max="5620" width="16.28515625" style="53" customWidth="1"/>
    <col min="5621" max="5621" width="13.85546875" style="53" customWidth="1"/>
    <col min="5622" max="5864" width="9.140625" style="53"/>
    <col min="5865" max="5865" width="1.7109375" style="53" customWidth="1"/>
    <col min="5866" max="5867" width="4.7109375" style="53" customWidth="1"/>
    <col min="5868" max="5868" width="54.140625" style="53" customWidth="1"/>
    <col min="5869" max="5869" width="52" style="53" customWidth="1"/>
    <col min="5870" max="5870" width="5.28515625" style="53" customWidth="1"/>
    <col min="5871" max="5871" width="5.85546875" style="53" bestFit="1" customWidth="1"/>
    <col min="5872" max="5872" width="16.42578125" style="53" customWidth="1"/>
    <col min="5873" max="5873" width="4.5703125" style="53" customWidth="1"/>
    <col min="5874" max="5874" width="14.140625" style="53" customWidth="1"/>
    <col min="5875" max="5875" width="27.140625" style="53" customWidth="1"/>
    <col min="5876" max="5876" width="16.28515625" style="53" customWidth="1"/>
    <col min="5877" max="5877" width="13.85546875" style="53" customWidth="1"/>
    <col min="5878" max="6120" width="9.140625" style="53"/>
    <col min="6121" max="6121" width="1.7109375" style="53" customWidth="1"/>
    <col min="6122" max="6123" width="4.7109375" style="53" customWidth="1"/>
    <col min="6124" max="6124" width="54.140625" style="53" customWidth="1"/>
    <col min="6125" max="6125" width="52" style="53" customWidth="1"/>
    <col min="6126" max="6126" width="5.28515625" style="53" customWidth="1"/>
    <col min="6127" max="6127" width="5.85546875" style="53" bestFit="1" customWidth="1"/>
    <col min="6128" max="6128" width="16.42578125" style="53" customWidth="1"/>
    <col min="6129" max="6129" width="4.5703125" style="53" customWidth="1"/>
    <col min="6130" max="6130" width="14.140625" style="53" customWidth="1"/>
    <col min="6131" max="6131" width="27.140625" style="53" customWidth="1"/>
    <col min="6132" max="6132" width="16.28515625" style="53" customWidth="1"/>
    <col min="6133" max="6133" width="13.85546875" style="53" customWidth="1"/>
    <col min="6134" max="6376" width="9.140625" style="53"/>
    <col min="6377" max="6377" width="1.7109375" style="53" customWidth="1"/>
    <col min="6378" max="6379" width="4.7109375" style="53" customWidth="1"/>
    <col min="6380" max="6380" width="54.140625" style="53" customWidth="1"/>
    <col min="6381" max="6381" width="52" style="53" customWidth="1"/>
    <col min="6382" max="6382" width="5.28515625" style="53" customWidth="1"/>
    <col min="6383" max="6383" width="5.85546875" style="53" bestFit="1" customWidth="1"/>
    <col min="6384" max="6384" width="16.42578125" style="53" customWidth="1"/>
    <col min="6385" max="6385" width="4.5703125" style="53" customWidth="1"/>
    <col min="6386" max="6386" width="14.140625" style="53" customWidth="1"/>
    <col min="6387" max="6387" width="27.140625" style="53" customWidth="1"/>
    <col min="6388" max="6388" width="16.28515625" style="53" customWidth="1"/>
    <col min="6389" max="6389" width="13.85546875" style="53" customWidth="1"/>
    <col min="6390" max="6632" width="9.140625" style="53"/>
    <col min="6633" max="6633" width="1.7109375" style="53" customWidth="1"/>
    <col min="6634" max="6635" width="4.7109375" style="53" customWidth="1"/>
    <col min="6636" max="6636" width="54.140625" style="53" customWidth="1"/>
    <col min="6637" max="6637" width="52" style="53" customWidth="1"/>
    <col min="6638" max="6638" width="5.28515625" style="53" customWidth="1"/>
    <col min="6639" max="6639" width="5.85546875" style="53" bestFit="1" customWidth="1"/>
    <col min="6640" max="6640" width="16.42578125" style="53" customWidth="1"/>
    <col min="6641" max="6641" width="4.5703125" style="53" customWidth="1"/>
    <col min="6642" max="6642" width="14.140625" style="53" customWidth="1"/>
    <col min="6643" max="6643" width="27.140625" style="53" customWidth="1"/>
    <col min="6644" max="6644" width="16.28515625" style="53" customWidth="1"/>
    <col min="6645" max="6645" width="13.85546875" style="53" customWidth="1"/>
    <col min="6646" max="6888" width="9.140625" style="53"/>
    <col min="6889" max="6889" width="1.7109375" style="53" customWidth="1"/>
    <col min="6890" max="6891" width="4.7109375" style="53" customWidth="1"/>
    <col min="6892" max="6892" width="54.140625" style="53" customWidth="1"/>
    <col min="6893" max="6893" width="52" style="53" customWidth="1"/>
    <col min="6894" max="6894" width="5.28515625" style="53" customWidth="1"/>
    <col min="6895" max="6895" width="5.85546875" style="53" bestFit="1" customWidth="1"/>
    <col min="6896" max="6896" width="16.42578125" style="53" customWidth="1"/>
    <col min="6897" max="6897" width="4.5703125" style="53" customWidth="1"/>
    <col min="6898" max="6898" width="14.140625" style="53" customWidth="1"/>
    <col min="6899" max="6899" width="27.140625" style="53" customWidth="1"/>
    <col min="6900" max="6900" width="16.28515625" style="53" customWidth="1"/>
    <col min="6901" max="6901" width="13.85546875" style="53" customWidth="1"/>
    <col min="6902" max="7144" width="9.140625" style="53"/>
    <col min="7145" max="7145" width="1.7109375" style="53" customWidth="1"/>
    <col min="7146" max="7147" width="4.7109375" style="53" customWidth="1"/>
    <col min="7148" max="7148" width="54.140625" style="53" customWidth="1"/>
    <col min="7149" max="7149" width="52" style="53" customWidth="1"/>
    <col min="7150" max="7150" width="5.28515625" style="53" customWidth="1"/>
    <col min="7151" max="7151" width="5.85546875" style="53" bestFit="1" customWidth="1"/>
    <col min="7152" max="7152" width="16.42578125" style="53" customWidth="1"/>
    <col min="7153" max="7153" width="4.5703125" style="53" customWidth="1"/>
    <col min="7154" max="7154" width="14.140625" style="53" customWidth="1"/>
    <col min="7155" max="7155" width="27.140625" style="53" customWidth="1"/>
    <col min="7156" max="7156" width="16.28515625" style="53" customWidth="1"/>
    <col min="7157" max="7157" width="13.85546875" style="53" customWidth="1"/>
    <col min="7158" max="7400" width="9.140625" style="53"/>
    <col min="7401" max="7401" width="1.7109375" style="53" customWidth="1"/>
    <col min="7402" max="7403" width="4.7109375" style="53" customWidth="1"/>
    <col min="7404" max="7404" width="54.140625" style="53" customWidth="1"/>
    <col min="7405" max="7405" width="52" style="53" customWidth="1"/>
    <col min="7406" max="7406" width="5.28515625" style="53" customWidth="1"/>
    <col min="7407" max="7407" width="5.85546875" style="53" bestFit="1" customWidth="1"/>
    <col min="7408" max="7408" width="16.42578125" style="53" customWidth="1"/>
    <col min="7409" max="7409" width="4.5703125" style="53" customWidth="1"/>
    <col min="7410" max="7410" width="14.140625" style="53" customWidth="1"/>
    <col min="7411" max="7411" width="27.140625" style="53" customWidth="1"/>
    <col min="7412" max="7412" width="16.28515625" style="53" customWidth="1"/>
    <col min="7413" max="7413" width="13.85546875" style="53" customWidth="1"/>
    <col min="7414" max="7656" width="9.140625" style="53"/>
    <col min="7657" max="7657" width="1.7109375" style="53" customWidth="1"/>
    <col min="7658" max="7659" width="4.7109375" style="53" customWidth="1"/>
    <col min="7660" max="7660" width="54.140625" style="53" customWidth="1"/>
    <col min="7661" max="7661" width="52" style="53" customWidth="1"/>
    <col min="7662" max="7662" width="5.28515625" style="53" customWidth="1"/>
    <col min="7663" max="7663" width="5.85546875" style="53" bestFit="1" customWidth="1"/>
    <col min="7664" max="7664" width="16.42578125" style="53" customWidth="1"/>
    <col min="7665" max="7665" width="4.5703125" style="53" customWidth="1"/>
    <col min="7666" max="7666" width="14.140625" style="53" customWidth="1"/>
    <col min="7667" max="7667" width="27.140625" style="53" customWidth="1"/>
    <col min="7668" max="7668" width="16.28515625" style="53" customWidth="1"/>
    <col min="7669" max="7669" width="13.85546875" style="53" customWidth="1"/>
    <col min="7670" max="7912" width="9.140625" style="53"/>
    <col min="7913" max="7913" width="1.7109375" style="53" customWidth="1"/>
    <col min="7914" max="7915" width="4.7109375" style="53" customWidth="1"/>
    <col min="7916" max="7916" width="54.140625" style="53" customWidth="1"/>
    <col min="7917" max="7917" width="52" style="53" customWidth="1"/>
    <col min="7918" max="7918" width="5.28515625" style="53" customWidth="1"/>
    <col min="7919" max="7919" width="5.85546875" style="53" bestFit="1" customWidth="1"/>
    <col min="7920" max="7920" width="16.42578125" style="53" customWidth="1"/>
    <col min="7921" max="7921" width="4.5703125" style="53" customWidth="1"/>
    <col min="7922" max="7922" width="14.140625" style="53" customWidth="1"/>
    <col min="7923" max="7923" width="27.140625" style="53" customWidth="1"/>
    <col min="7924" max="7924" width="16.28515625" style="53" customWidth="1"/>
    <col min="7925" max="7925" width="13.85546875" style="53" customWidth="1"/>
    <col min="7926" max="8168" width="9.140625" style="53"/>
    <col min="8169" max="8169" width="1.7109375" style="53" customWidth="1"/>
    <col min="8170" max="8171" width="4.7109375" style="53" customWidth="1"/>
    <col min="8172" max="8172" width="54.140625" style="53" customWidth="1"/>
    <col min="8173" max="8173" width="52" style="53" customWidth="1"/>
    <col min="8174" max="8174" width="5.28515625" style="53" customWidth="1"/>
    <col min="8175" max="8175" width="5.85546875" style="53" bestFit="1" customWidth="1"/>
    <col min="8176" max="8176" width="16.42578125" style="53" customWidth="1"/>
    <col min="8177" max="8177" width="4.5703125" style="53" customWidth="1"/>
    <col min="8178" max="8178" width="14.140625" style="53" customWidth="1"/>
    <col min="8179" max="8179" width="27.140625" style="53" customWidth="1"/>
    <col min="8180" max="8180" width="16.28515625" style="53" customWidth="1"/>
    <col min="8181" max="8181" width="13.85546875" style="53" customWidth="1"/>
    <col min="8182" max="8424" width="9.140625" style="53"/>
    <col min="8425" max="8425" width="1.7109375" style="53" customWidth="1"/>
    <col min="8426" max="8427" width="4.7109375" style="53" customWidth="1"/>
    <col min="8428" max="8428" width="54.140625" style="53" customWidth="1"/>
    <col min="8429" max="8429" width="52" style="53" customWidth="1"/>
    <col min="8430" max="8430" width="5.28515625" style="53" customWidth="1"/>
    <col min="8431" max="8431" width="5.85546875" style="53" bestFit="1" customWidth="1"/>
    <col min="8432" max="8432" width="16.42578125" style="53" customWidth="1"/>
    <col min="8433" max="8433" width="4.5703125" style="53" customWidth="1"/>
    <col min="8434" max="8434" width="14.140625" style="53" customWidth="1"/>
    <col min="8435" max="8435" width="27.140625" style="53" customWidth="1"/>
    <col min="8436" max="8436" width="16.28515625" style="53" customWidth="1"/>
    <col min="8437" max="8437" width="13.85546875" style="53" customWidth="1"/>
    <col min="8438" max="8680" width="9.140625" style="53"/>
    <col min="8681" max="8681" width="1.7109375" style="53" customWidth="1"/>
    <col min="8682" max="8683" width="4.7109375" style="53" customWidth="1"/>
    <col min="8684" max="8684" width="54.140625" style="53" customWidth="1"/>
    <col min="8685" max="8685" width="52" style="53" customWidth="1"/>
    <col min="8686" max="8686" width="5.28515625" style="53" customWidth="1"/>
    <col min="8687" max="8687" width="5.85546875" style="53" bestFit="1" customWidth="1"/>
    <col min="8688" max="8688" width="16.42578125" style="53" customWidth="1"/>
    <col min="8689" max="8689" width="4.5703125" style="53" customWidth="1"/>
    <col min="8690" max="8690" width="14.140625" style="53" customWidth="1"/>
    <col min="8691" max="8691" width="27.140625" style="53" customWidth="1"/>
    <col min="8692" max="8692" width="16.28515625" style="53" customWidth="1"/>
    <col min="8693" max="8693" width="13.85546875" style="53" customWidth="1"/>
    <col min="8694" max="8936" width="9.140625" style="53"/>
    <col min="8937" max="8937" width="1.7109375" style="53" customWidth="1"/>
    <col min="8938" max="8939" width="4.7109375" style="53" customWidth="1"/>
    <col min="8940" max="8940" width="54.140625" style="53" customWidth="1"/>
    <col min="8941" max="8941" width="52" style="53" customWidth="1"/>
    <col min="8942" max="8942" width="5.28515625" style="53" customWidth="1"/>
    <col min="8943" max="8943" width="5.85546875" style="53" bestFit="1" customWidth="1"/>
    <col min="8944" max="8944" width="16.42578125" style="53" customWidth="1"/>
    <col min="8945" max="8945" width="4.5703125" style="53" customWidth="1"/>
    <col min="8946" max="8946" width="14.140625" style="53" customWidth="1"/>
    <col min="8947" max="8947" width="27.140625" style="53" customWidth="1"/>
    <col min="8948" max="8948" width="16.28515625" style="53" customWidth="1"/>
    <col min="8949" max="8949" width="13.85546875" style="53" customWidth="1"/>
    <col min="8950" max="9192" width="9.140625" style="53"/>
    <col min="9193" max="9193" width="1.7109375" style="53" customWidth="1"/>
    <col min="9194" max="9195" width="4.7109375" style="53" customWidth="1"/>
    <col min="9196" max="9196" width="54.140625" style="53" customWidth="1"/>
    <col min="9197" max="9197" width="52" style="53" customWidth="1"/>
    <col min="9198" max="9198" width="5.28515625" style="53" customWidth="1"/>
    <col min="9199" max="9199" width="5.85546875" style="53" bestFit="1" customWidth="1"/>
    <col min="9200" max="9200" width="16.42578125" style="53" customWidth="1"/>
    <col min="9201" max="9201" width="4.5703125" style="53" customWidth="1"/>
    <col min="9202" max="9202" width="14.140625" style="53" customWidth="1"/>
    <col min="9203" max="9203" width="27.140625" style="53" customWidth="1"/>
    <col min="9204" max="9204" width="16.28515625" style="53" customWidth="1"/>
    <col min="9205" max="9205" width="13.85546875" style="53" customWidth="1"/>
    <col min="9206" max="9448" width="9.140625" style="53"/>
    <col min="9449" max="9449" width="1.7109375" style="53" customWidth="1"/>
    <col min="9450" max="9451" width="4.7109375" style="53" customWidth="1"/>
    <col min="9452" max="9452" width="54.140625" style="53" customWidth="1"/>
    <col min="9453" max="9453" width="52" style="53" customWidth="1"/>
    <col min="9454" max="9454" width="5.28515625" style="53" customWidth="1"/>
    <col min="9455" max="9455" width="5.85546875" style="53" bestFit="1" customWidth="1"/>
    <col min="9456" max="9456" width="16.42578125" style="53" customWidth="1"/>
    <col min="9457" max="9457" width="4.5703125" style="53" customWidth="1"/>
    <col min="9458" max="9458" width="14.140625" style="53" customWidth="1"/>
    <col min="9459" max="9459" width="27.140625" style="53" customWidth="1"/>
    <col min="9460" max="9460" width="16.28515625" style="53" customWidth="1"/>
    <col min="9461" max="9461" width="13.85546875" style="53" customWidth="1"/>
    <col min="9462" max="9704" width="9.140625" style="53"/>
    <col min="9705" max="9705" width="1.7109375" style="53" customWidth="1"/>
    <col min="9706" max="9707" width="4.7109375" style="53" customWidth="1"/>
    <col min="9708" max="9708" width="54.140625" style="53" customWidth="1"/>
    <col min="9709" max="9709" width="52" style="53" customWidth="1"/>
    <col min="9710" max="9710" width="5.28515625" style="53" customWidth="1"/>
    <col min="9711" max="9711" width="5.85546875" style="53" bestFit="1" customWidth="1"/>
    <col min="9712" max="9712" width="16.42578125" style="53" customWidth="1"/>
    <col min="9713" max="9713" width="4.5703125" style="53" customWidth="1"/>
    <col min="9714" max="9714" width="14.140625" style="53" customWidth="1"/>
    <col min="9715" max="9715" width="27.140625" style="53" customWidth="1"/>
    <col min="9716" max="9716" width="16.28515625" style="53" customWidth="1"/>
    <col min="9717" max="9717" width="13.85546875" style="53" customWidth="1"/>
    <col min="9718" max="9960" width="9.140625" style="53"/>
    <col min="9961" max="9961" width="1.7109375" style="53" customWidth="1"/>
    <col min="9962" max="9963" width="4.7109375" style="53" customWidth="1"/>
    <col min="9964" max="9964" width="54.140625" style="53" customWidth="1"/>
    <col min="9965" max="9965" width="52" style="53" customWidth="1"/>
    <col min="9966" max="9966" width="5.28515625" style="53" customWidth="1"/>
    <col min="9967" max="9967" width="5.85546875" style="53" bestFit="1" customWidth="1"/>
    <col min="9968" max="9968" width="16.42578125" style="53" customWidth="1"/>
    <col min="9969" max="9969" width="4.5703125" style="53" customWidth="1"/>
    <col min="9970" max="9970" width="14.140625" style="53" customWidth="1"/>
    <col min="9971" max="9971" width="27.140625" style="53" customWidth="1"/>
    <col min="9972" max="9972" width="16.28515625" style="53" customWidth="1"/>
    <col min="9973" max="9973" width="13.85546875" style="53" customWidth="1"/>
    <col min="9974" max="10216" width="9.140625" style="53"/>
    <col min="10217" max="10217" width="1.7109375" style="53" customWidth="1"/>
    <col min="10218" max="10219" width="4.7109375" style="53" customWidth="1"/>
    <col min="10220" max="10220" width="54.140625" style="53" customWidth="1"/>
    <col min="10221" max="10221" width="52" style="53" customWidth="1"/>
    <col min="10222" max="10222" width="5.28515625" style="53" customWidth="1"/>
    <col min="10223" max="10223" width="5.85546875" style="53" bestFit="1" customWidth="1"/>
    <col min="10224" max="10224" width="16.42578125" style="53" customWidth="1"/>
    <col min="10225" max="10225" width="4.5703125" style="53" customWidth="1"/>
    <col min="10226" max="10226" width="14.140625" style="53" customWidth="1"/>
    <col min="10227" max="10227" width="27.140625" style="53" customWidth="1"/>
    <col min="10228" max="10228" width="16.28515625" style="53" customWidth="1"/>
    <col min="10229" max="10229" width="13.85546875" style="53" customWidth="1"/>
    <col min="10230" max="10472" width="9.140625" style="53"/>
    <col min="10473" max="10473" width="1.7109375" style="53" customWidth="1"/>
    <col min="10474" max="10475" width="4.7109375" style="53" customWidth="1"/>
    <col min="10476" max="10476" width="54.140625" style="53" customWidth="1"/>
    <col min="10477" max="10477" width="52" style="53" customWidth="1"/>
    <col min="10478" max="10478" width="5.28515625" style="53" customWidth="1"/>
    <col min="10479" max="10479" width="5.85546875" style="53" bestFit="1" customWidth="1"/>
    <col min="10480" max="10480" width="16.42578125" style="53" customWidth="1"/>
    <col min="10481" max="10481" width="4.5703125" style="53" customWidth="1"/>
    <col min="10482" max="10482" width="14.140625" style="53" customWidth="1"/>
    <col min="10483" max="10483" width="27.140625" style="53" customWidth="1"/>
    <col min="10484" max="10484" width="16.28515625" style="53" customWidth="1"/>
    <col min="10485" max="10485" width="13.85546875" style="53" customWidth="1"/>
    <col min="10486" max="10728" width="9.140625" style="53"/>
    <col min="10729" max="10729" width="1.7109375" style="53" customWidth="1"/>
    <col min="10730" max="10731" width="4.7109375" style="53" customWidth="1"/>
    <col min="10732" max="10732" width="54.140625" style="53" customWidth="1"/>
    <col min="10733" max="10733" width="52" style="53" customWidth="1"/>
    <col min="10734" max="10734" width="5.28515625" style="53" customWidth="1"/>
    <col min="10735" max="10735" width="5.85546875" style="53" bestFit="1" customWidth="1"/>
    <col min="10736" max="10736" width="16.42578125" style="53" customWidth="1"/>
    <col min="10737" max="10737" width="4.5703125" style="53" customWidth="1"/>
    <col min="10738" max="10738" width="14.140625" style="53" customWidth="1"/>
    <col min="10739" max="10739" width="27.140625" style="53" customWidth="1"/>
    <col min="10740" max="10740" width="16.28515625" style="53" customWidth="1"/>
    <col min="10741" max="10741" width="13.85546875" style="53" customWidth="1"/>
    <col min="10742" max="10984" width="9.140625" style="53"/>
    <col min="10985" max="10985" width="1.7109375" style="53" customWidth="1"/>
    <col min="10986" max="10987" width="4.7109375" style="53" customWidth="1"/>
    <col min="10988" max="10988" width="54.140625" style="53" customWidth="1"/>
    <col min="10989" max="10989" width="52" style="53" customWidth="1"/>
    <col min="10990" max="10990" width="5.28515625" style="53" customWidth="1"/>
    <col min="10991" max="10991" width="5.85546875" style="53" bestFit="1" customWidth="1"/>
    <col min="10992" max="10992" width="16.42578125" style="53" customWidth="1"/>
    <col min="10993" max="10993" width="4.5703125" style="53" customWidth="1"/>
    <col min="10994" max="10994" width="14.140625" style="53" customWidth="1"/>
    <col min="10995" max="10995" width="27.140625" style="53" customWidth="1"/>
    <col min="10996" max="10996" width="16.28515625" style="53" customWidth="1"/>
    <col min="10997" max="10997" width="13.85546875" style="53" customWidth="1"/>
    <col min="10998" max="11240" width="9.140625" style="53"/>
    <col min="11241" max="11241" width="1.7109375" style="53" customWidth="1"/>
    <col min="11242" max="11243" width="4.7109375" style="53" customWidth="1"/>
    <col min="11244" max="11244" width="54.140625" style="53" customWidth="1"/>
    <col min="11245" max="11245" width="52" style="53" customWidth="1"/>
    <col min="11246" max="11246" width="5.28515625" style="53" customWidth="1"/>
    <col min="11247" max="11247" width="5.85546875" style="53" bestFit="1" customWidth="1"/>
    <col min="11248" max="11248" width="16.42578125" style="53" customWidth="1"/>
    <col min="11249" max="11249" width="4.5703125" style="53" customWidth="1"/>
    <col min="11250" max="11250" width="14.140625" style="53" customWidth="1"/>
    <col min="11251" max="11251" width="27.140625" style="53" customWidth="1"/>
    <col min="11252" max="11252" width="16.28515625" style="53" customWidth="1"/>
    <col min="11253" max="11253" width="13.85546875" style="53" customWidth="1"/>
    <col min="11254" max="11496" width="9.140625" style="53"/>
    <col min="11497" max="11497" width="1.7109375" style="53" customWidth="1"/>
    <col min="11498" max="11499" width="4.7109375" style="53" customWidth="1"/>
    <col min="11500" max="11500" width="54.140625" style="53" customWidth="1"/>
    <col min="11501" max="11501" width="52" style="53" customWidth="1"/>
    <col min="11502" max="11502" width="5.28515625" style="53" customWidth="1"/>
    <col min="11503" max="11503" width="5.85546875" style="53" bestFit="1" customWidth="1"/>
    <col min="11504" max="11504" width="16.42578125" style="53" customWidth="1"/>
    <col min="11505" max="11505" width="4.5703125" style="53" customWidth="1"/>
    <col min="11506" max="11506" width="14.140625" style="53" customWidth="1"/>
    <col min="11507" max="11507" width="27.140625" style="53" customWidth="1"/>
    <col min="11508" max="11508" width="16.28515625" style="53" customWidth="1"/>
    <col min="11509" max="11509" width="13.85546875" style="53" customWidth="1"/>
    <col min="11510" max="11752" width="9.140625" style="53"/>
    <col min="11753" max="11753" width="1.7109375" style="53" customWidth="1"/>
    <col min="11754" max="11755" width="4.7109375" style="53" customWidth="1"/>
    <col min="11756" max="11756" width="54.140625" style="53" customWidth="1"/>
    <col min="11757" max="11757" width="52" style="53" customWidth="1"/>
    <col min="11758" max="11758" width="5.28515625" style="53" customWidth="1"/>
    <col min="11759" max="11759" width="5.85546875" style="53" bestFit="1" customWidth="1"/>
    <col min="11760" max="11760" width="16.42578125" style="53" customWidth="1"/>
    <col min="11761" max="11761" width="4.5703125" style="53" customWidth="1"/>
    <col min="11762" max="11762" width="14.140625" style="53" customWidth="1"/>
    <col min="11763" max="11763" width="27.140625" style="53" customWidth="1"/>
    <col min="11764" max="11764" width="16.28515625" style="53" customWidth="1"/>
    <col min="11765" max="11765" width="13.85546875" style="53" customWidth="1"/>
    <col min="11766" max="12008" width="9.140625" style="53"/>
    <col min="12009" max="12009" width="1.7109375" style="53" customWidth="1"/>
    <col min="12010" max="12011" width="4.7109375" style="53" customWidth="1"/>
    <col min="12012" max="12012" width="54.140625" style="53" customWidth="1"/>
    <col min="12013" max="12013" width="52" style="53" customWidth="1"/>
    <col min="12014" max="12014" width="5.28515625" style="53" customWidth="1"/>
    <col min="12015" max="12015" width="5.85546875" style="53" bestFit="1" customWidth="1"/>
    <col min="12016" max="12016" width="16.42578125" style="53" customWidth="1"/>
    <col min="12017" max="12017" width="4.5703125" style="53" customWidth="1"/>
    <col min="12018" max="12018" width="14.140625" style="53" customWidth="1"/>
    <col min="12019" max="12019" width="27.140625" style="53" customWidth="1"/>
    <col min="12020" max="12020" width="16.28515625" style="53" customWidth="1"/>
    <col min="12021" max="12021" width="13.85546875" style="53" customWidth="1"/>
    <col min="12022" max="12264" width="9.140625" style="53"/>
    <col min="12265" max="12265" width="1.7109375" style="53" customWidth="1"/>
    <col min="12266" max="12267" width="4.7109375" style="53" customWidth="1"/>
    <col min="12268" max="12268" width="54.140625" style="53" customWidth="1"/>
    <col min="12269" max="12269" width="52" style="53" customWidth="1"/>
    <col min="12270" max="12270" width="5.28515625" style="53" customWidth="1"/>
    <col min="12271" max="12271" width="5.85546875" style="53" bestFit="1" customWidth="1"/>
    <col min="12272" max="12272" width="16.42578125" style="53" customWidth="1"/>
    <col min="12273" max="12273" width="4.5703125" style="53" customWidth="1"/>
    <col min="12274" max="12274" width="14.140625" style="53" customWidth="1"/>
    <col min="12275" max="12275" width="27.140625" style="53" customWidth="1"/>
    <col min="12276" max="12276" width="16.28515625" style="53" customWidth="1"/>
    <col min="12277" max="12277" width="13.85546875" style="53" customWidth="1"/>
    <col min="12278" max="12520" width="9.140625" style="53"/>
    <col min="12521" max="12521" width="1.7109375" style="53" customWidth="1"/>
    <col min="12522" max="12523" width="4.7109375" style="53" customWidth="1"/>
    <col min="12524" max="12524" width="54.140625" style="53" customWidth="1"/>
    <col min="12525" max="12525" width="52" style="53" customWidth="1"/>
    <col min="12526" max="12526" width="5.28515625" style="53" customWidth="1"/>
    <col min="12527" max="12527" width="5.85546875" style="53" bestFit="1" customWidth="1"/>
    <col min="12528" max="12528" width="16.42578125" style="53" customWidth="1"/>
    <col min="12529" max="12529" width="4.5703125" style="53" customWidth="1"/>
    <col min="12530" max="12530" width="14.140625" style="53" customWidth="1"/>
    <col min="12531" max="12531" width="27.140625" style="53" customWidth="1"/>
    <col min="12532" max="12532" width="16.28515625" style="53" customWidth="1"/>
    <col min="12533" max="12533" width="13.85546875" style="53" customWidth="1"/>
    <col min="12534" max="12776" width="9.140625" style="53"/>
    <col min="12777" max="12777" width="1.7109375" style="53" customWidth="1"/>
    <col min="12778" max="12779" width="4.7109375" style="53" customWidth="1"/>
    <col min="12780" max="12780" width="54.140625" style="53" customWidth="1"/>
    <col min="12781" max="12781" width="52" style="53" customWidth="1"/>
    <col min="12782" max="12782" width="5.28515625" style="53" customWidth="1"/>
    <col min="12783" max="12783" width="5.85546875" style="53" bestFit="1" customWidth="1"/>
    <col min="12784" max="12784" width="16.42578125" style="53" customWidth="1"/>
    <col min="12785" max="12785" width="4.5703125" style="53" customWidth="1"/>
    <col min="12786" max="12786" width="14.140625" style="53" customWidth="1"/>
    <col min="12787" max="12787" width="27.140625" style="53" customWidth="1"/>
    <col min="12788" max="12788" width="16.28515625" style="53" customWidth="1"/>
    <col min="12789" max="12789" width="13.85546875" style="53" customWidth="1"/>
    <col min="12790" max="13032" width="9.140625" style="53"/>
    <col min="13033" max="13033" width="1.7109375" style="53" customWidth="1"/>
    <col min="13034" max="13035" width="4.7109375" style="53" customWidth="1"/>
    <col min="13036" max="13036" width="54.140625" style="53" customWidth="1"/>
    <col min="13037" max="13037" width="52" style="53" customWidth="1"/>
    <col min="13038" max="13038" width="5.28515625" style="53" customWidth="1"/>
    <col min="13039" max="13039" width="5.85546875" style="53" bestFit="1" customWidth="1"/>
    <col min="13040" max="13040" width="16.42578125" style="53" customWidth="1"/>
    <col min="13041" max="13041" width="4.5703125" style="53" customWidth="1"/>
    <col min="13042" max="13042" width="14.140625" style="53" customWidth="1"/>
    <col min="13043" max="13043" width="27.140625" style="53" customWidth="1"/>
    <col min="13044" max="13044" width="16.28515625" style="53" customWidth="1"/>
    <col min="13045" max="13045" width="13.85546875" style="53" customWidth="1"/>
    <col min="13046" max="13288" width="9.140625" style="53"/>
    <col min="13289" max="13289" width="1.7109375" style="53" customWidth="1"/>
    <col min="13290" max="13291" width="4.7109375" style="53" customWidth="1"/>
    <col min="13292" max="13292" width="54.140625" style="53" customWidth="1"/>
    <col min="13293" max="13293" width="52" style="53" customWidth="1"/>
    <col min="13294" max="13294" width="5.28515625" style="53" customWidth="1"/>
    <col min="13295" max="13295" width="5.85546875" style="53" bestFit="1" customWidth="1"/>
    <col min="13296" max="13296" width="16.42578125" style="53" customWidth="1"/>
    <col min="13297" max="13297" width="4.5703125" style="53" customWidth="1"/>
    <col min="13298" max="13298" width="14.140625" style="53" customWidth="1"/>
    <col min="13299" max="13299" width="27.140625" style="53" customWidth="1"/>
    <col min="13300" max="13300" width="16.28515625" style="53" customWidth="1"/>
    <col min="13301" max="13301" width="13.85546875" style="53" customWidth="1"/>
    <col min="13302" max="13544" width="9.140625" style="53"/>
    <col min="13545" max="13545" width="1.7109375" style="53" customWidth="1"/>
    <col min="13546" max="13547" width="4.7109375" style="53" customWidth="1"/>
    <col min="13548" max="13548" width="54.140625" style="53" customWidth="1"/>
    <col min="13549" max="13549" width="52" style="53" customWidth="1"/>
    <col min="13550" max="13550" width="5.28515625" style="53" customWidth="1"/>
    <col min="13551" max="13551" width="5.85546875" style="53" bestFit="1" customWidth="1"/>
    <col min="13552" max="13552" width="16.42578125" style="53" customWidth="1"/>
    <col min="13553" max="13553" width="4.5703125" style="53" customWidth="1"/>
    <col min="13554" max="13554" width="14.140625" style="53" customWidth="1"/>
    <col min="13555" max="13555" width="27.140625" style="53" customWidth="1"/>
    <col min="13556" max="13556" width="16.28515625" style="53" customWidth="1"/>
    <col min="13557" max="13557" width="13.85546875" style="53" customWidth="1"/>
    <col min="13558" max="13800" width="9.140625" style="53"/>
    <col min="13801" max="13801" width="1.7109375" style="53" customWidth="1"/>
    <col min="13802" max="13803" width="4.7109375" style="53" customWidth="1"/>
    <col min="13804" max="13804" width="54.140625" style="53" customWidth="1"/>
    <col min="13805" max="13805" width="52" style="53" customWidth="1"/>
    <col min="13806" max="13806" width="5.28515625" style="53" customWidth="1"/>
    <col min="13807" max="13807" width="5.85546875" style="53" bestFit="1" customWidth="1"/>
    <col min="13808" max="13808" width="16.42578125" style="53" customWidth="1"/>
    <col min="13809" max="13809" width="4.5703125" style="53" customWidth="1"/>
    <col min="13810" max="13810" width="14.140625" style="53" customWidth="1"/>
    <col min="13811" max="13811" width="27.140625" style="53" customWidth="1"/>
    <col min="13812" max="13812" width="16.28515625" style="53" customWidth="1"/>
    <col min="13813" max="13813" width="13.85546875" style="53" customWidth="1"/>
    <col min="13814" max="14056" width="9.140625" style="53"/>
    <col min="14057" max="14057" width="1.7109375" style="53" customWidth="1"/>
    <col min="14058" max="14059" width="4.7109375" style="53" customWidth="1"/>
    <col min="14060" max="14060" width="54.140625" style="53" customWidth="1"/>
    <col min="14061" max="14061" width="52" style="53" customWidth="1"/>
    <col min="14062" max="14062" width="5.28515625" style="53" customWidth="1"/>
    <col min="14063" max="14063" width="5.85546875" style="53" bestFit="1" customWidth="1"/>
    <col min="14064" max="14064" width="16.42578125" style="53" customWidth="1"/>
    <col min="14065" max="14065" width="4.5703125" style="53" customWidth="1"/>
    <col min="14066" max="14066" width="14.140625" style="53" customWidth="1"/>
    <col min="14067" max="14067" width="27.140625" style="53" customWidth="1"/>
    <col min="14068" max="14068" width="16.28515625" style="53" customWidth="1"/>
    <col min="14069" max="14069" width="13.85546875" style="53" customWidth="1"/>
    <col min="14070" max="14312" width="9.140625" style="53"/>
    <col min="14313" max="14313" width="1.7109375" style="53" customWidth="1"/>
    <col min="14314" max="14315" width="4.7109375" style="53" customWidth="1"/>
    <col min="14316" max="14316" width="54.140625" style="53" customWidth="1"/>
    <col min="14317" max="14317" width="52" style="53" customWidth="1"/>
    <col min="14318" max="14318" width="5.28515625" style="53" customWidth="1"/>
    <col min="14319" max="14319" width="5.85546875" style="53" bestFit="1" customWidth="1"/>
    <col min="14320" max="14320" width="16.42578125" style="53" customWidth="1"/>
    <col min="14321" max="14321" width="4.5703125" style="53" customWidth="1"/>
    <col min="14322" max="14322" width="14.140625" style="53" customWidth="1"/>
    <col min="14323" max="14323" width="27.140625" style="53" customWidth="1"/>
    <col min="14324" max="14324" width="16.28515625" style="53" customWidth="1"/>
    <col min="14325" max="14325" width="13.85546875" style="53" customWidth="1"/>
    <col min="14326" max="14568" width="9.140625" style="53"/>
    <col min="14569" max="14569" width="1.7109375" style="53" customWidth="1"/>
    <col min="14570" max="14571" width="4.7109375" style="53" customWidth="1"/>
    <col min="14572" max="14572" width="54.140625" style="53" customWidth="1"/>
    <col min="14573" max="14573" width="52" style="53" customWidth="1"/>
    <col min="14574" max="14574" width="5.28515625" style="53" customWidth="1"/>
    <col min="14575" max="14575" width="5.85546875" style="53" bestFit="1" customWidth="1"/>
    <col min="14576" max="14576" width="16.42578125" style="53" customWidth="1"/>
    <col min="14577" max="14577" width="4.5703125" style="53" customWidth="1"/>
    <col min="14578" max="14578" width="14.140625" style="53" customWidth="1"/>
    <col min="14579" max="14579" width="27.140625" style="53" customWidth="1"/>
    <col min="14580" max="14580" width="16.28515625" style="53" customWidth="1"/>
    <col min="14581" max="14581" width="13.85546875" style="53" customWidth="1"/>
    <col min="14582" max="14824" width="9.140625" style="53"/>
    <col min="14825" max="14825" width="1.7109375" style="53" customWidth="1"/>
    <col min="14826" max="14827" width="4.7109375" style="53" customWidth="1"/>
    <col min="14828" max="14828" width="54.140625" style="53" customWidth="1"/>
    <col min="14829" max="14829" width="52" style="53" customWidth="1"/>
    <col min="14830" max="14830" width="5.28515625" style="53" customWidth="1"/>
    <col min="14831" max="14831" width="5.85546875" style="53" bestFit="1" customWidth="1"/>
    <col min="14832" max="14832" width="16.42578125" style="53" customWidth="1"/>
    <col min="14833" max="14833" width="4.5703125" style="53" customWidth="1"/>
    <col min="14834" max="14834" width="14.140625" style="53" customWidth="1"/>
    <col min="14835" max="14835" width="27.140625" style="53" customWidth="1"/>
    <col min="14836" max="14836" width="16.28515625" style="53" customWidth="1"/>
    <col min="14837" max="14837" width="13.85546875" style="53" customWidth="1"/>
    <col min="14838" max="15080" width="9.140625" style="53"/>
    <col min="15081" max="15081" width="1.7109375" style="53" customWidth="1"/>
    <col min="15082" max="15083" width="4.7109375" style="53" customWidth="1"/>
    <col min="15084" max="15084" width="54.140625" style="53" customWidth="1"/>
    <col min="15085" max="15085" width="52" style="53" customWidth="1"/>
    <col min="15086" max="15086" width="5.28515625" style="53" customWidth="1"/>
    <col min="15087" max="15087" width="5.85546875" style="53" bestFit="1" customWidth="1"/>
    <col min="15088" max="15088" width="16.42578125" style="53" customWidth="1"/>
    <col min="15089" max="15089" width="4.5703125" style="53" customWidth="1"/>
    <col min="15090" max="15090" width="14.140625" style="53" customWidth="1"/>
    <col min="15091" max="15091" width="27.140625" style="53" customWidth="1"/>
    <col min="15092" max="15092" width="16.28515625" style="53" customWidth="1"/>
    <col min="15093" max="15093" width="13.85546875" style="53" customWidth="1"/>
    <col min="15094" max="15336" width="9.140625" style="53"/>
    <col min="15337" max="15337" width="1.7109375" style="53" customWidth="1"/>
    <col min="15338" max="15339" width="4.7109375" style="53" customWidth="1"/>
    <col min="15340" max="15340" width="54.140625" style="53" customWidth="1"/>
    <col min="15341" max="15341" width="52" style="53" customWidth="1"/>
    <col min="15342" max="15342" width="5.28515625" style="53" customWidth="1"/>
    <col min="15343" max="15343" width="5.85546875" style="53" bestFit="1" customWidth="1"/>
    <col min="15344" max="15344" width="16.42578125" style="53" customWidth="1"/>
    <col min="15345" max="15345" width="4.5703125" style="53" customWidth="1"/>
    <col min="15346" max="15346" width="14.140625" style="53" customWidth="1"/>
    <col min="15347" max="15347" width="27.140625" style="53" customWidth="1"/>
    <col min="15348" max="15348" width="16.28515625" style="53" customWidth="1"/>
    <col min="15349" max="15349" width="13.85546875" style="53" customWidth="1"/>
    <col min="15350" max="15592" width="9.140625" style="53"/>
    <col min="15593" max="15593" width="1.7109375" style="53" customWidth="1"/>
    <col min="15594" max="15595" width="4.7109375" style="53" customWidth="1"/>
    <col min="15596" max="15596" width="54.140625" style="53" customWidth="1"/>
    <col min="15597" max="15597" width="52" style="53" customWidth="1"/>
    <col min="15598" max="15598" width="5.28515625" style="53" customWidth="1"/>
    <col min="15599" max="15599" width="5.85546875" style="53" bestFit="1" customWidth="1"/>
    <col min="15600" max="15600" width="16.42578125" style="53" customWidth="1"/>
    <col min="15601" max="15601" width="4.5703125" style="53" customWidth="1"/>
    <col min="15602" max="15602" width="14.140625" style="53" customWidth="1"/>
    <col min="15603" max="15603" width="27.140625" style="53" customWidth="1"/>
    <col min="15604" max="15604" width="16.28515625" style="53" customWidth="1"/>
    <col min="15605" max="15605" width="13.85546875" style="53" customWidth="1"/>
    <col min="15606" max="15848" width="9.140625" style="53"/>
    <col min="15849" max="15849" width="1.7109375" style="53" customWidth="1"/>
    <col min="15850" max="15851" width="4.7109375" style="53" customWidth="1"/>
    <col min="15852" max="15852" width="54.140625" style="53" customWidth="1"/>
    <col min="15853" max="15853" width="52" style="53" customWidth="1"/>
    <col min="15854" max="15854" width="5.28515625" style="53" customWidth="1"/>
    <col min="15855" max="15855" width="5.85546875" style="53" bestFit="1" customWidth="1"/>
    <col min="15856" max="15856" width="16.42578125" style="53" customWidth="1"/>
    <col min="15857" max="15857" width="4.5703125" style="53" customWidth="1"/>
    <col min="15858" max="15858" width="14.140625" style="53" customWidth="1"/>
    <col min="15859" max="15859" width="27.140625" style="53" customWidth="1"/>
    <col min="15860" max="15860" width="16.28515625" style="53" customWidth="1"/>
    <col min="15861" max="15861" width="13.85546875" style="53" customWidth="1"/>
    <col min="15862" max="16104" width="9.140625" style="53"/>
    <col min="16105" max="16105" width="1.7109375" style="53" customWidth="1"/>
    <col min="16106" max="16107" width="4.7109375" style="53" customWidth="1"/>
    <col min="16108" max="16108" width="54.140625" style="53" customWidth="1"/>
    <col min="16109" max="16109" width="52" style="53" customWidth="1"/>
    <col min="16110" max="16110" width="5.28515625" style="53" customWidth="1"/>
    <col min="16111" max="16111" width="5.85546875" style="53" bestFit="1" customWidth="1"/>
    <col min="16112" max="16112" width="16.42578125" style="53" customWidth="1"/>
    <col min="16113" max="16113" width="4.5703125" style="53" customWidth="1"/>
    <col min="16114" max="16114" width="14.140625" style="53" customWidth="1"/>
    <col min="16115" max="16115" width="27.140625" style="53" customWidth="1"/>
    <col min="16116" max="16116" width="16.28515625" style="53" customWidth="1"/>
    <col min="16117" max="16117" width="13.85546875" style="53" customWidth="1"/>
    <col min="16118" max="16384" width="9.140625" style="53"/>
  </cols>
  <sheetData>
    <row r="1" spans="2:17" ht="15" customHeight="1" x14ac:dyDescent="0.25"/>
    <row r="2" spans="2:17" s="5" customFormat="1" ht="15.75" hidden="1" x14ac:dyDescent="0.25">
      <c r="B2" s="2"/>
      <c r="C2" s="1645" t="s">
        <v>431</v>
      </c>
      <c r="D2" s="1645"/>
      <c r="E2" s="1645"/>
      <c r="F2" s="1645"/>
      <c r="G2" s="1645"/>
      <c r="H2" s="1645"/>
      <c r="I2" s="1645"/>
      <c r="J2" s="1645"/>
      <c r="K2" s="1645"/>
      <c r="L2" s="451"/>
      <c r="M2" s="451"/>
      <c r="N2" s="3"/>
    </row>
    <row r="3" spans="2:17" s="5" customFormat="1" ht="13.5" customHeight="1" x14ac:dyDescent="0.25">
      <c r="B3" s="2"/>
      <c r="C3" s="1646" t="s">
        <v>0</v>
      </c>
      <c r="D3" s="1646"/>
      <c r="E3" s="1646"/>
      <c r="F3" s="1646"/>
      <c r="G3" s="1646"/>
      <c r="H3" s="1646"/>
      <c r="I3" s="1646"/>
      <c r="J3" s="1646"/>
      <c r="K3" s="1646"/>
      <c r="L3" s="1646"/>
      <c r="M3" s="681"/>
      <c r="N3" s="481"/>
    </row>
    <row r="4" spans="2:17" s="4" customFormat="1" ht="14.25" customHeight="1" x14ac:dyDescent="0.25">
      <c r="B4" s="2"/>
      <c r="C4" s="1646" t="s">
        <v>1</v>
      </c>
      <c r="D4" s="1646"/>
      <c r="E4" s="1646"/>
      <c r="F4" s="1646"/>
      <c r="G4" s="1646"/>
      <c r="H4" s="1646"/>
      <c r="I4" s="1646"/>
      <c r="J4" s="1646"/>
      <c r="K4" s="1646"/>
      <c r="L4" s="1646"/>
      <c r="M4" s="681"/>
      <c r="N4" s="481"/>
    </row>
    <row r="5" spans="2:17" s="4" customFormat="1" ht="15.75" x14ac:dyDescent="0.25">
      <c r="B5" s="2"/>
      <c r="C5" s="452"/>
      <c r="D5" s="453"/>
      <c r="E5" s="453"/>
      <c r="F5" s="453"/>
      <c r="G5" s="454"/>
      <c r="H5" s="455"/>
      <c r="I5" s="456"/>
      <c r="J5" s="457"/>
      <c r="K5" s="457"/>
      <c r="L5" s="458"/>
      <c r="M5" s="456"/>
      <c r="N5" s="484"/>
    </row>
    <row r="6" spans="2:17" s="4" customFormat="1" ht="18" customHeight="1" x14ac:dyDescent="0.25">
      <c r="B6" s="2"/>
      <c r="C6" s="1647" t="s">
        <v>2</v>
      </c>
      <c r="D6" s="1647"/>
      <c r="E6" s="1505" t="s">
        <v>3</v>
      </c>
      <c r="F6" s="1505"/>
      <c r="G6" s="1505"/>
      <c r="H6" s="459"/>
      <c r="I6" s="456"/>
      <c r="J6" s="457"/>
      <c r="K6" s="457"/>
      <c r="L6" s="458"/>
      <c r="M6" s="456"/>
      <c r="N6" s="484"/>
    </row>
    <row r="7" spans="2:17" s="4" customFormat="1" ht="8.25" customHeight="1" thickBot="1" x14ac:dyDescent="0.3">
      <c r="B7" s="2"/>
      <c r="C7" s="6"/>
      <c r="D7" s="8"/>
      <c r="E7" s="8"/>
      <c r="F7" s="8"/>
      <c r="G7" s="9"/>
      <c r="H7" s="10"/>
      <c r="I7" s="11"/>
      <c r="J7" s="12"/>
      <c r="K7" s="12"/>
      <c r="L7" s="7"/>
      <c r="M7" s="11"/>
      <c r="N7" s="484"/>
    </row>
    <row r="8" spans="2:17" s="15" customFormat="1" ht="32.25" customHeight="1" thickTop="1" x14ac:dyDescent="0.25">
      <c r="B8" s="13"/>
      <c r="C8" s="1648" t="s">
        <v>433</v>
      </c>
      <c r="D8" s="1649"/>
      <c r="E8" s="1650"/>
      <c r="F8" s="1654" t="s">
        <v>418</v>
      </c>
      <c r="G8" s="1650"/>
      <c r="H8" s="1656" t="s">
        <v>417</v>
      </c>
      <c r="I8" s="1658" t="s">
        <v>419</v>
      </c>
      <c r="J8" s="1662" t="s">
        <v>502</v>
      </c>
      <c r="K8" s="1666" t="s">
        <v>488</v>
      </c>
      <c r="L8" s="14"/>
      <c r="M8" s="1643" t="s">
        <v>469</v>
      </c>
      <c r="N8" s="441" t="s">
        <v>426</v>
      </c>
      <c r="O8" s="16"/>
    </row>
    <row r="9" spans="2:17" s="15" customFormat="1" x14ac:dyDescent="0.25">
      <c r="B9" s="13"/>
      <c r="C9" s="1651"/>
      <c r="D9" s="1652"/>
      <c r="E9" s="1653"/>
      <c r="F9" s="1655"/>
      <c r="G9" s="1653"/>
      <c r="H9" s="1657"/>
      <c r="I9" s="1659"/>
      <c r="J9" s="1663"/>
      <c r="K9" s="1667"/>
      <c r="L9" s="14"/>
      <c r="M9" s="1644"/>
      <c r="N9" s="14"/>
      <c r="Q9" s="17"/>
    </row>
    <row r="10" spans="2:17" s="15" customFormat="1" ht="19.5" customHeight="1" x14ac:dyDescent="0.25">
      <c r="B10" s="13"/>
      <c r="C10" s="1632">
        <v>1</v>
      </c>
      <c r="D10" s="1633"/>
      <c r="E10" s="1634"/>
      <c r="F10" s="1635">
        <v>2</v>
      </c>
      <c r="G10" s="1636"/>
      <c r="H10" s="18">
        <v>3</v>
      </c>
      <c r="I10" s="18">
        <v>4</v>
      </c>
      <c r="J10" s="607">
        <v>5</v>
      </c>
      <c r="K10" s="19">
        <v>5</v>
      </c>
      <c r="L10" s="20"/>
      <c r="M10" s="507"/>
      <c r="N10" s="20"/>
      <c r="O10" s="21">
        <v>307965438271</v>
      </c>
      <c r="Q10" s="17"/>
    </row>
    <row r="11" spans="2:17" s="29" customFormat="1" ht="29.25" customHeight="1" x14ac:dyDescent="0.25">
      <c r="B11" s="13"/>
      <c r="C11" s="22"/>
      <c r="D11" s="1635" t="s">
        <v>4</v>
      </c>
      <c r="E11" s="1637"/>
      <c r="F11" s="1637"/>
      <c r="G11" s="1636"/>
      <c r="H11" s="23"/>
      <c r="I11" s="24"/>
      <c r="J11" s="608">
        <f>J12+J51</f>
        <v>307965438271</v>
      </c>
      <c r="K11" s="25">
        <f>K12+K51</f>
        <v>307965438271</v>
      </c>
      <c r="L11" s="26"/>
      <c r="M11" s="508"/>
      <c r="N11" s="485">
        <f>SUM(N12:N246)</f>
        <v>1200000000</v>
      </c>
      <c r="O11" s="27">
        <f>O10-K11</f>
        <v>0</v>
      </c>
      <c r="P11" s="28"/>
    </row>
    <row r="12" spans="2:17" s="15" customFormat="1" ht="30" customHeight="1" x14ac:dyDescent="0.25">
      <c r="B12" s="13"/>
      <c r="C12" s="30"/>
      <c r="D12" s="1638" t="s">
        <v>487</v>
      </c>
      <c r="E12" s="1638"/>
      <c r="F12" s="1638"/>
      <c r="G12" s="1638"/>
      <c r="H12" s="1638"/>
      <c r="I12" s="1639"/>
      <c r="J12" s="609">
        <f>J13+J24+J39+J42+J45</f>
        <v>11438515300</v>
      </c>
      <c r="K12" s="31">
        <f>K13+K24+K39+K42+K45</f>
        <v>11438515300</v>
      </c>
      <c r="L12" s="32"/>
      <c r="M12" s="509"/>
      <c r="N12" s="486"/>
      <c r="O12" s="33"/>
      <c r="P12" s="17"/>
    </row>
    <row r="13" spans="2:17" s="15" customFormat="1" ht="21" customHeight="1" x14ac:dyDescent="0.25">
      <c r="B13" s="13"/>
      <c r="C13" s="34" t="s">
        <v>432</v>
      </c>
      <c r="D13" s="1640" t="s">
        <v>6</v>
      </c>
      <c r="E13" s="1641"/>
      <c r="F13" s="1641"/>
      <c r="G13" s="1642"/>
      <c r="H13" s="35" t="s">
        <v>7</v>
      </c>
      <c r="I13" s="36"/>
      <c r="J13" s="610">
        <f>J20+J15+J16+J17+J18+J21+J22+J14+J19</f>
        <v>5166573300</v>
      </c>
      <c r="K13" s="37">
        <f>K20+K15+K16+K17+K18+K21+K22+K14+K19</f>
        <v>5166573300</v>
      </c>
      <c r="L13" s="38"/>
      <c r="M13" s="510"/>
      <c r="N13" s="487"/>
    </row>
    <row r="14" spans="2:17" s="62" customFormat="1" ht="27" customHeight="1" x14ac:dyDescent="0.25">
      <c r="B14" s="59"/>
      <c r="C14" s="39"/>
      <c r="D14" s="140" t="s">
        <v>5</v>
      </c>
      <c r="E14" s="1623" t="s">
        <v>9</v>
      </c>
      <c r="F14" s="1624"/>
      <c r="G14" s="1625"/>
      <c r="H14" s="745" t="s">
        <v>497</v>
      </c>
      <c r="I14" s="746">
        <v>1</v>
      </c>
      <c r="J14" s="611">
        <v>755192500</v>
      </c>
      <c r="K14" s="43">
        <f>755192500</f>
        <v>755192500</v>
      </c>
      <c r="L14" s="44"/>
      <c r="M14" s="747"/>
      <c r="N14" s="488"/>
    </row>
    <row r="15" spans="2:17" s="62" customFormat="1" ht="26.25" customHeight="1" x14ac:dyDescent="0.25">
      <c r="B15" s="59"/>
      <c r="C15" s="39"/>
      <c r="D15" s="79" t="s">
        <v>10</v>
      </c>
      <c r="E15" s="1623" t="s">
        <v>11</v>
      </c>
      <c r="F15" s="1624"/>
      <c r="G15" s="1625"/>
      <c r="H15" s="837" t="s">
        <v>12</v>
      </c>
      <c r="I15" s="746">
        <v>1</v>
      </c>
      <c r="J15" s="612">
        <v>1921800000</v>
      </c>
      <c r="K15" s="47">
        <v>1921800000</v>
      </c>
      <c r="L15" s="44"/>
      <c r="M15" s="747"/>
      <c r="N15" s="488"/>
    </row>
    <row r="16" spans="2:17" s="62" customFormat="1" ht="26.25" customHeight="1" x14ac:dyDescent="0.25">
      <c r="B16" s="59"/>
      <c r="C16" s="39"/>
      <c r="D16" s="140" t="s">
        <v>13</v>
      </c>
      <c r="E16" s="1623" t="s">
        <v>14</v>
      </c>
      <c r="F16" s="1624"/>
      <c r="G16" s="1625"/>
      <c r="H16" s="837" t="s">
        <v>15</v>
      </c>
      <c r="I16" s="746">
        <v>1</v>
      </c>
      <c r="J16" s="612">
        <f>1968500000-21419200</f>
        <v>1947080800</v>
      </c>
      <c r="K16" s="47">
        <f>1968500000-21419200</f>
        <v>1947080800</v>
      </c>
      <c r="L16" s="44"/>
      <c r="M16" s="747"/>
      <c r="N16" s="488"/>
    </row>
    <row r="17" spans="2:15" s="29" customFormat="1" ht="20.25" customHeight="1" x14ac:dyDescent="0.25">
      <c r="B17" s="13"/>
      <c r="C17" s="39"/>
      <c r="D17" s="140" t="s">
        <v>16</v>
      </c>
      <c r="E17" s="1584" t="s">
        <v>17</v>
      </c>
      <c r="F17" s="1585"/>
      <c r="G17" s="1586"/>
      <c r="H17" s="46" t="s">
        <v>18</v>
      </c>
      <c r="I17" s="42">
        <v>1</v>
      </c>
      <c r="J17" s="612">
        <v>200000000</v>
      </c>
      <c r="K17" s="47">
        <v>200000000</v>
      </c>
      <c r="L17" s="44"/>
      <c r="M17" s="511"/>
      <c r="N17" s="488"/>
    </row>
    <row r="18" spans="2:15" s="29" customFormat="1" ht="20.25" customHeight="1" x14ac:dyDescent="0.25">
      <c r="B18" s="13"/>
      <c r="C18" s="39"/>
      <c r="D18" s="140" t="s">
        <v>19</v>
      </c>
      <c r="E18" s="1584" t="s">
        <v>20</v>
      </c>
      <c r="F18" s="1585"/>
      <c r="G18" s="1586"/>
      <c r="H18" s="46" t="s">
        <v>21</v>
      </c>
      <c r="I18" s="42">
        <v>1</v>
      </c>
      <c r="J18" s="612">
        <f>238307500-65807500</f>
        <v>172500000</v>
      </c>
      <c r="K18" s="47">
        <f>238307500-65807500</f>
        <v>172500000</v>
      </c>
      <c r="L18" s="44"/>
      <c r="M18" s="511"/>
      <c r="N18" s="488"/>
    </row>
    <row r="19" spans="2:15" s="29" customFormat="1" ht="20.25" customHeight="1" x14ac:dyDescent="0.25">
      <c r="B19" s="13"/>
      <c r="C19" s="39"/>
      <c r="D19" s="140" t="s">
        <v>27</v>
      </c>
      <c r="E19" s="1605" t="s">
        <v>23</v>
      </c>
      <c r="F19" s="1606"/>
      <c r="G19" s="1607"/>
      <c r="H19" s="48" t="s">
        <v>24</v>
      </c>
      <c r="I19" s="42">
        <v>1</v>
      </c>
      <c r="J19" s="612">
        <v>100000000</v>
      </c>
      <c r="K19" s="47">
        <v>100000000</v>
      </c>
      <c r="L19" s="44"/>
      <c r="M19" s="511"/>
      <c r="N19" s="488"/>
    </row>
    <row r="20" spans="2:15" s="29" customFormat="1" ht="30" customHeight="1" x14ac:dyDescent="0.25">
      <c r="B20" s="13"/>
      <c r="C20" s="49"/>
      <c r="D20" s="79" t="s">
        <v>30</v>
      </c>
      <c r="E20" s="1584" t="s">
        <v>25</v>
      </c>
      <c r="F20" s="1585"/>
      <c r="G20" s="1586"/>
      <c r="H20" s="50" t="s">
        <v>26</v>
      </c>
      <c r="I20" s="51">
        <v>1</v>
      </c>
      <c r="J20" s="613">
        <v>10000000</v>
      </c>
      <c r="K20" s="52">
        <v>10000000</v>
      </c>
      <c r="L20" s="44"/>
      <c r="M20" s="512"/>
      <c r="N20" s="488"/>
    </row>
    <row r="21" spans="2:15" s="29" customFormat="1" ht="17.25" customHeight="1" x14ac:dyDescent="0.25">
      <c r="B21" s="13"/>
      <c r="C21" s="39"/>
      <c r="D21" s="140" t="s">
        <v>8</v>
      </c>
      <c r="E21" s="1584" t="s">
        <v>28</v>
      </c>
      <c r="F21" s="1585"/>
      <c r="G21" s="1586"/>
      <c r="H21" s="46" t="s">
        <v>29</v>
      </c>
      <c r="I21" s="42">
        <v>1</v>
      </c>
      <c r="J21" s="612">
        <f>40000000-10000000</f>
        <v>30000000</v>
      </c>
      <c r="K21" s="47">
        <f>40000000-10000000</f>
        <v>30000000</v>
      </c>
      <c r="L21" s="44"/>
      <c r="M21" s="511"/>
      <c r="N21" s="488"/>
    </row>
    <row r="22" spans="2:15" s="29" customFormat="1" ht="27" customHeight="1" x14ac:dyDescent="0.25">
      <c r="B22" s="13"/>
      <c r="C22" s="39"/>
      <c r="D22" s="140" t="s">
        <v>22</v>
      </c>
      <c r="E22" s="1584" t="s">
        <v>31</v>
      </c>
      <c r="F22" s="1585"/>
      <c r="G22" s="1586"/>
      <c r="H22" s="46" t="s">
        <v>32</v>
      </c>
      <c r="I22" s="42">
        <v>1</v>
      </c>
      <c r="J22" s="612">
        <f>30000000</f>
        <v>30000000</v>
      </c>
      <c r="K22" s="47">
        <f>30000000</f>
        <v>30000000</v>
      </c>
      <c r="L22" s="44"/>
      <c r="M22" s="511"/>
      <c r="N22" s="488"/>
    </row>
    <row r="23" spans="2:15" s="29" customFormat="1" ht="3.75" customHeight="1" x14ac:dyDescent="0.25">
      <c r="B23" s="13"/>
      <c r="C23" s="54"/>
      <c r="D23" s="55"/>
      <c r="E23" s="677"/>
      <c r="F23" s="1614"/>
      <c r="G23" s="1615"/>
      <c r="H23" s="56"/>
      <c r="I23" s="57"/>
      <c r="J23" s="614"/>
      <c r="K23" s="58"/>
      <c r="L23" s="44"/>
      <c r="M23" s="513"/>
      <c r="N23" s="488"/>
    </row>
    <row r="24" spans="2:15" s="29" customFormat="1" ht="26.25" customHeight="1" x14ac:dyDescent="0.25">
      <c r="B24" s="13"/>
      <c r="C24" s="34" t="s">
        <v>434</v>
      </c>
      <c r="D24" s="1640" t="s">
        <v>35</v>
      </c>
      <c r="E24" s="1641"/>
      <c r="F24" s="1641"/>
      <c r="G24" s="1642"/>
      <c r="H24" s="35" t="s">
        <v>36</v>
      </c>
      <c r="I24" s="36"/>
      <c r="J24" s="610">
        <f>J25+J26+J27+J28+J29+J32+J35+J36+J37</f>
        <v>4220250000</v>
      </c>
      <c r="K24" s="37">
        <f>K25+K26+K27+K28+K29+K32+K35+K36+K37</f>
        <v>4220250000</v>
      </c>
      <c r="L24" s="38"/>
      <c r="M24" s="510"/>
      <c r="N24" s="487"/>
    </row>
    <row r="25" spans="2:15" s="62" customFormat="1" ht="21" customHeight="1" x14ac:dyDescent="0.25">
      <c r="B25" s="59"/>
      <c r="C25" s="39"/>
      <c r="D25" s="140" t="s">
        <v>5</v>
      </c>
      <c r="E25" s="1529" t="s">
        <v>37</v>
      </c>
      <c r="F25" s="1622"/>
      <c r="G25" s="1530"/>
      <c r="H25" s="680" t="s">
        <v>38</v>
      </c>
      <c r="I25" s="746">
        <v>1</v>
      </c>
      <c r="J25" s="611">
        <v>350000000</v>
      </c>
      <c r="K25" s="43">
        <v>350000000</v>
      </c>
      <c r="L25" s="44"/>
      <c r="M25" s="747"/>
      <c r="N25" s="488"/>
    </row>
    <row r="26" spans="2:15" s="62" customFormat="1" ht="21" customHeight="1" x14ac:dyDescent="0.25">
      <c r="B26" s="59"/>
      <c r="C26" s="39"/>
      <c r="D26" s="140" t="s">
        <v>10</v>
      </c>
      <c r="E26" s="1529" t="s">
        <v>485</v>
      </c>
      <c r="F26" s="1622"/>
      <c r="G26" s="1530"/>
      <c r="H26" s="680" t="s">
        <v>39</v>
      </c>
      <c r="I26" s="746">
        <v>1</v>
      </c>
      <c r="J26" s="611">
        <v>452890000</v>
      </c>
      <c r="K26" s="43">
        <v>452890000</v>
      </c>
      <c r="L26" s="44"/>
      <c r="M26" s="747"/>
      <c r="N26" s="488"/>
    </row>
    <row r="27" spans="2:15" s="62" customFormat="1" ht="21" customHeight="1" x14ac:dyDescent="0.25">
      <c r="B27" s="59"/>
      <c r="C27" s="39"/>
      <c r="D27" s="140" t="s">
        <v>13</v>
      </c>
      <c r="E27" s="1529" t="s">
        <v>40</v>
      </c>
      <c r="F27" s="1622"/>
      <c r="G27" s="1530"/>
      <c r="H27" s="680" t="s">
        <v>41</v>
      </c>
      <c r="I27" s="746">
        <v>1</v>
      </c>
      <c r="J27" s="612">
        <f>600000000</f>
        <v>600000000</v>
      </c>
      <c r="K27" s="47">
        <f>600000000</f>
        <v>600000000</v>
      </c>
      <c r="L27" s="44"/>
      <c r="M27" s="747"/>
      <c r="N27" s="488"/>
    </row>
    <row r="28" spans="2:15" s="62" customFormat="1" ht="18.75" customHeight="1" x14ac:dyDescent="0.25">
      <c r="B28" s="59"/>
      <c r="C28" s="766"/>
      <c r="D28" s="759" t="s">
        <v>16</v>
      </c>
      <c r="E28" s="1529" t="s">
        <v>42</v>
      </c>
      <c r="F28" s="1622"/>
      <c r="G28" s="1530"/>
      <c r="H28" s="680" t="s">
        <v>43</v>
      </c>
      <c r="I28" s="746">
        <v>1</v>
      </c>
      <c r="J28" s="611">
        <v>243360000</v>
      </c>
      <c r="K28" s="43">
        <v>243360000</v>
      </c>
      <c r="L28" s="44"/>
      <c r="M28" s="747"/>
      <c r="N28" s="488"/>
    </row>
    <row r="29" spans="2:15" s="62" customFormat="1" ht="31.5" customHeight="1" x14ac:dyDescent="0.25">
      <c r="B29" s="59"/>
      <c r="C29" s="39"/>
      <c r="D29" s="140" t="s">
        <v>19</v>
      </c>
      <c r="E29" s="1618" t="s">
        <v>44</v>
      </c>
      <c r="F29" s="1619"/>
      <c r="G29" s="1620"/>
      <c r="H29" s="748" t="s">
        <v>45</v>
      </c>
      <c r="I29" s="746">
        <v>1</v>
      </c>
      <c r="J29" s="660">
        <f>SUM(J30:J31)</f>
        <v>210000000</v>
      </c>
      <c r="K29" s="60">
        <f>SUM(K30:K31)</f>
        <v>210000000</v>
      </c>
      <c r="L29" s="61"/>
      <c r="M29" s="747"/>
      <c r="N29" s="489"/>
      <c r="O29" s="63"/>
    </row>
    <row r="30" spans="2:15" s="62" customFormat="1" ht="26.25" customHeight="1" x14ac:dyDescent="0.25">
      <c r="B30" s="59"/>
      <c r="C30" s="39"/>
      <c r="D30" s="140"/>
      <c r="E30" s="838" t="s">
        <v>46</v>
      </c>
      <c r="F30" s="1616" t="s">
        <v>47</v>
      </c>
      <c r="G30" s="1617"/>
      <c r="H30" s="839" t="s">
        <v>48</v>
      </c>
      <c r="I30" s="137"/>
      <c r="J30" s="616">
        <v>200000000</v>
      </c>
      <c r="K30" s="66">
        <v>200000000</v>
      </c>
      <c r="L30" s="67"/>
      <c r="M30" s="519"/>
      <c r="N30" s="490"/>
      <c r="O30" s="63"/>
    </row>
    <row r="31" spans="2:15" s="62" customFormat="1" ht="25.5" customHeight="1" x14ac:dyDescent="0.25">
      <c r="B31" s="59"/>
      <c r="C31" s="39"/>
      <c r="D31" s="140"/>
      <c r="E31" s="838" t="s">
        <v>46</v>
      </c>
      <c r="F31" s="1616" t="s">
        <v>49</v>
      </c>
      <c r="G31" s="1617"/>
      <c r="H31" s="839" t="s">
        <v>50</v>
      </c>
      <c r="I31" s="137"/>
      <c r="J31" s="616">
        <v>10000000</v>
      </c>
      <c r="K31" s="66">
        <v>10000000</v>
      </c>
      <c r="L31" s="67"/>
      <c r="M31" s="519"/>
      <c r="N31" s="490"/>
      <c r="O31" s="63"/>
    </row>
    <row r="32" spans="2:15" s="62" customFormat="1" ht="26.25" customHeight="1" x14ac:dyDescent="0.25">
      <c r="B32" s="59"/>
      <c r="C32" s="39"/>
      <c r="D32" s="140" t="s">
        <v>27</v>
      </c>
      <c r="E32" s="1618" t="s">
        <v>51</v>
      </c>
      <c r="F32" s="1619"/>
      <c r="G32" s="1620"/>
      <c r="H32" s="840" t="s">
        <v>53</v>
      </c>
      <c r="I32" s="746">
        <v>1</v>
      </c>
      <c r="J32" s="617">
        <f>SUM(J33:J34)</f>
        <v>950000000</v>
      </c>
      <c r="K32" s="71">
        <f>SUM(K33:K34)</f>
        <v>950000000</v>
      </c>
      <c r="L32" s="61"/>
      <c r="M32" s="747"/>
      <c r="N32" s="489"/>
      <c r="O32" s="63"/>
    </row>
    <row r="33" spans="2:15" s="62" customFormat="1" ht="27.75" customHeight="1" x14ac:dyDescent="0.25">
      <c r="B33" s="59"/>
      <c r="C33" s="39"/>
      <c r="D33" s="140"/>
      <c r="E33" s="838" t="s">
        <v>46</v>
      </c>
      <c r="F33" s="1616" t="s">
        <v>52</v>
      </c>
      <c r="G33" s="1617"/>
      <c r="H33" s="839" t="s">
        <v>53</v>
      </c>
      <c r="I33" s="841"/>
      <c r="J33" s="618">
        <v>915000000</v>
      </c>
      <c r="K33" s="73">
        <v>915000000</v>
      </c>
      <c r="L33" s="67"/>
      <c r="M33" s="842"/>
      <c r="N33" s="490"/>
      <c r="O33" s="63"/>
    </row>
    <row r="34" spans="2:15" s="62" customFormat="1" ht="27" customHeight="1" x14ac:dyDescent="0.25">
      <c r="B34" s="59"/>
      <c r="C34" s="39"/>
      <c r="D34" s="140"/>
      <c r="E34" s="838" t="s">
        <v>46</v>
      </c>
      <c r="F34" s="1616" t="s">
        <v>54</v>
      </c>
      <c r="G34" s="1617"/>
      <c r="H34" s="839" t="s">
        <v>55</v>
      </c>
      <c r="I34" s="137"/>
      <c r="J34" s="618">
        <v>35000000</v>
      </c>
      <c r="K34" s="73">
        <v>35000000</v>
      </c>
      <c r="L34" s="67"/>
      <c r="M34" s="519"/>
      <c r="N34" s="490"/>
      <c r="O34" s="63"/>
    </row>
    <row r="35" spans="2:15" s="62" customFormat="1" ht="26.25" customHeight="1" x14ac:dyDescent="0.25">
      <c r="B35" s="59"/>
      <c r="C35" s="39"/>
      <c r="D35" s="140" t="s">
        <v>30</v>
      </c>
      <c r="E35" s="1621" t="s">
        <v>56</v>
      </c>
      <c r="F35" s="1621"/>
      <c r="G35" s="1621"/>
      <c r="H35" s="74" t="s">
        <v>57</v>
      </c>
      <c r="I35" s="746">
        <v>1</v>
      </c>
      <c r="J35" s="612">
        <v>150000000</v>
      </c>
      <c r="K35" s="47">
        <v>150000000</v>
      </c>
      <c r="L35" s="44"/>
      <c r="M35" s="747"/>
      <c r="N35" s="488"/>
    </row>
    <row r="36" spans="2:15" s="62" customFormat="1" ht="21" customHeight="1" x14ac:dyDescent="0.25">
      <c r="B36" s="59"/>
      <c r="C36" s="39"/>
      <c r="D36" s="140" t="s">
        <v>8</v>
      </c>
      <c r="E36" s="1621" t="s">
        <v>58</v>
      </c>
      <c r="F36" s="1621"/>
      <c r="G36" s="1621"/>
      <c r="H36" s="680" t="s">
        <v>34</v>
      </c>
      <c r="I36" s="746">
        <v>1</v>
      </c>
      <c r="J36" s="612">
        <v>164000000</v>
      </c>
      <c r="K36" s="47">
        <v>164000000</v>
      </c>
      <c r="L36" s="44"/>
      <c r="M36" s="747"/>
      <c r="N36" s="488"/>
    </row>
    <row r="37" spans="2:15" s="229" customFormat="1" ht="23.25" customHeight="1" x14ac:dyDescent="0.25">
      <c r="B37" s="59"/>
      <c r="C37" s="39"/>
      <c r="D37" s="140" t="s">
        <v>22</v>
      </c>
      <c r="E37" s="1608" t="s">
        <v>33</v>
      </c>
      <c r="F37" s="1609"/>
      <c r="G37" s="1610"/>
      <c r="H37" s="811" t="s">
        <v>498</v>
      </c>
      <c r="I37" s="81">
        <v>1</v>
      </c>
      <c r="J37" s="613">
        <f>200000000+900000000</f>
        <v>1100000000</v>
      </c>
      <c r="K37" s="52">
        <v>1100000000</v>
      </c>
      <c r="L37" s="44"/>
      <c r="M37" s="549"/>
      <c r="N37" s="488"/>
    </row>
    <row r="38" spans="2:15" s="29" customFormat="1" ht="3.75" customHeight="1" x14ac:dyDescent="0.25">
      <c r="B38" s="13"/>
      <c r="C38" s="54"/>
      <c r="D38" s="55"/>
      <c r="E38" s="75"/>
      <c r="F38" s="1614"/>
      <c r="G38" s="1615"/>
      <c r="H38" s="56"/>
      <c r="I38" s="57"/>
      <c r="J38" s="614"/>
      <c r="K38" s="58"/>
      <c r="L38" s="44"/>
      <c r="M38" s="546"/>
      <c r="N38" s="488"/>
    </row>
    <row r="39" spans="2:15" s="15" customFormat="1" ht="23.25" customHeight="1" x14ac:dyDescent="0.25">
      <c r="B39" s="13"/>
      <c r="C39" s="34" t="s">
        <v>435</v>
      </c>
      <c r="D39" s="1599" t="s">
        <v>59</v>
      </c>
      <c r="E39" s="1600"/>
      <c r="F39" s="1600"/>
      <c r="G39" s="1601"/>
      <c r="H39" s="35" t="s">
        <v>60</v>
      </c>
      <c r="I39" s="36"/>
      <c r="J39" s="610">
        <f>SUM(J40)</f>
        <v>329692000</v>
      </c>
      <c r="K39" s="37">
        <f>SUM(K40)</f>
        <v>329692000</v>
      </c>
      <c r="L39" s="38"/>
      <c r="M39" s="547"/>
      <c r="N39" s="487"/>
    </row>
    <row r="40" spans="2:15" s="29" customFormat="1" ht="19.5" customHeight="1" x14ac:dyDescent="0.25">
      <c r="B40" s="13"/>
      <c r="C40" s="76"/>
      <c r="D40" s="77" t="s">
        <v>5</v>
      </c>
      <c r="E40" s="1602" t="s">
        <v>61</v>
      </c>
      <c r="F40" s="1603"/>
      <c r="G40" s="1604"/>
      <c r="H40" s="50" t="s">
        <v>62</v>
      </c>
      <c r="I40" s="51">
        <v>1</v>
      </c>
      <c r="J40" s="613">
        <f>347700000-18008000</f>
        <v>329692000</v>
      </c>
      <c r="K40" s="52">
        <f>347700000-18008000</f>
        <v>329692000</v>
      </c>
      <c r="L40" s="44"/>
      <c r="M40" s="545"/>
      <c r="N40" s="488"/>
    </row>
    <row r="41" spans="2:15" s="29" customFormat="1" ht="3.75" customHeight="1" x14ac:dyDescent="0.25">
      <c r="B41" s="13"/>
      <c r="C41" s="91"/>
      <c r="D41" s="92"/>
      <c r="E41" s="1613"/>
      <c r="F41" s="1614"/>
      <c r="G41" s="1615"/>
      <c r="H41" s="93"/>
      <c r="I41" s="470"/>
      <c r="J41" s="619"/>
      <c r="K41" s="94"/>
      <c r="L41" s="44"/>
      <c r="M41" s="548"/>
      <c r="N41" s="488"/>
    </row>
    <row r="42" spans="2:15" s="15" customFormat="1" ht="22.5" customHeight="1" x14ac:dyDescent="0.25">
      <c r="B42" s="13"/>
      <c r="C42" s="34" t="s">
        <v>436</v>
      </c>
      <c r="D42" s="1599" t="s">
        <v>63</v>
      </c>
      <c r="E42" s="1600"/>
      <c r="F42" s="1600"/>
      <c r="G42" s="1601"/>
      <c r="H42" s="35" t="s">
        <v>64</v>
      </c>
      <c r="I42" s="36"/>
      <c r="J42" s="610">
        <f>J43</f>
        <v>250000000</v>
      </c>
      <c r="K42" s="37">
        <f>K43</f>
        <v>250000000</v>
      </c>
      <c r="L42" s="38"/>
      <c r="M42" s="547"/>
      <c r="N42" s="487"/>
    </row>
    <row r="43" spans="2:15" s="82" customFormat="1" ht="34.5" customHeight="1" x14ac:dyDescent="0.25">
      <c r="B43" s="59"/>
      <c r="C43" s="78"/>
      <c r="D43" s="79" t="s">
        <v>5</v>
      </c>
      <c r="E43" s="1593" t="s">
        <v>65</v>
      </c>
      <c r="F43" s="1594"/>
      <c r="G43" s="1595"/>
      <c r="H43" s="80" t="s">
        <v>66</v>
      </c>
      <c r="I43" s="81">
        <v>1</v>
      </c>
      <c r="J43" s="613">
        <f>300000000-50000000</f>
        <v>250000000</v>
      </c>
      <c r="K43" s="52">
        <f>300000000-50000000</f>
        <v>250000000</v>
      </c>
      <c r="L43" s="44"/>
      <c r="M43" s="549"/>
      <c r="N43" s="488"/>
    </row>
    <row r="44" spans="2:15" s="15" customFormat="1" ht="7.5" customHeight="1" x14ac:dyDescent="0.25">
      <c r="B44" s="13"/>
      <c r="C44" s="83"/>
      <c r="D44" s="84"/>
      <c r="E44" s="1596"/>
      <c r="F44" s="1597"/>
      <c r="G44" s="1598"/>
      <c r="H44" s="41"/>
      <c r="I44" s="57"/>
      <c r="J44" s="614"/>
      <c r="K44" s="58"/>
      <c r="L44" s="44"/>
      <c r="M44" s="546"/>
      <c r="N44" s="488"/>
    </row>
    <row r="45" spans="2:15" s="15" customFormat="1" ht="33" customHeight="1" x14ac:dyDescent="0.25">
      <c r="B45" s="13"/>
      <c r="C45" s="34" t="s">
        <v>437</v>
      </c>
      <c r="D45" s="1599" t="s">
        <v>67</v>
      </c>
      <c r="E45" s="1600"/>
      <c r="F45" s="1600"/>
      <c r="G45" s="1601"/>
      <c r="H45" s="35" t="s">
        <v>68</v>
      </c>
      <c r="I45" s="36"/>
      <c r="J45" s="610">
        <f>SUM(J46:J49)</f>
        <v>1472000000</v>
      </c>
      <c r="K45" s="37">
        <f>SUM(K46:K49)</f>
        <v>1472000000</v>
      </c>
      <c r="L45" s="38"/>
      <c r="M45" s="547"/>
      <c r="N45" s="487"/>
    </row>
    <row r="46" spans="2:15" s="29" customFormat="1" ht="16.5" customHeight="1" x14ac:dyDescent="0.25">
      <c r="B46" s="13"/>
      <c r="C46" s="54"/>
      <c r="D46" s="55" t="s">
        <v>5</v>
      </c>
      <c r="E46" s="1602" t="s">
        <v>69</v>
      </c>
      <c r="F46" s="1603"/>
      <c r="G46" s="1604"/>
      <c r="H46" s="41" t="s">
        <v>466</v>
      </c>
      <c r="I46" s="85">
        <v>1</v>
      </c>
      <c r="J46" s="614">
        <v>300000000</v>
      </c>
      <c r="K46" s="58">
        <v>300000000</v>
      </c>
      <c r="L46" s="44"/>
      <c r="M46" s="550"/>
      <c r="N46" s="488"/>
    </row>
    <row r="47" spans="2:15" s="29" customFormat="1" ht="16.5" customHeight="1" x14ac:dyDescent="0.25">
      <c r="B47" s="13"/>
      <c r="C47" s="54"/>
      <c r="D47" s="55" t="s">
        <v>10</v>
      </c>
      <c r="E47" s="1584" t="s">
        <v>70</v>
      </c>
      <c r="F47" s="1585"/>
      <c r="G47" s="1586"/>
      <c r="H47" s="46" t="s">
        <v>71</v>
      </c>
      <c r="I47" s="42">
        <v>1</v>
      </c>
      <c r="J47" s="620">
        <v>350000000</v>
      </c>
      <c r="K47" s="86">
        <v>350000000</v>
      </c>
      <c r="L47" s="44"/>
      <c r="M47" s="551"/>
      <c r="N47" s="488"/>
    </row>
    <row r="48" spans="2:15" s="29" customFormat="1" ht="16.5" customHeight="1" x14ac:dyDescent="0.25">
      <c r="B48" s="13"/>
      <c r="C48" s="87"/>
      <c r="D48" s="88" t="s">
        <v>13</v>
      </c>
      <c r="E48" s="1605" t="s">
        <v>72</v>
      </c>
      <c r="F48" s="1606"/>
      <c r="G48" s="1607"/>
      <c r="H48" s="46" t="s">
        <v>73</v>
      </c>
      <c r="I48" s="42">
        <v>1</v>
      </c>
      <c r="J48" s="612">
        <f>722000000</f>
        <v>722000000</v>
      </c>
      <c r="K48" s="47">
        <f>722000000</f>
        <v>722000000</v>
      </c>
      <c r="L48" s="44"/>
      <c r="M48" s="551"/>
      <c r="N48" s="488"/>
    </row>
    <row r="49" spans="2:17" s="29" customFormat="1" ht="28.5" customHeight="1" x14ac:dyDescent="0.25">
      <c r="B49" s="13"/>
      <c r="C49" s="76"/>
      <c r="D49" s="89" t="s">
        <v>16</v>
      </c>
      <c r="E49" s="1584" t="s">
        <v>74</v>
      </c>
      <c r="F49" s="1585"/>
      <c r="G49" s="1586"/>
      <c r="H49" s="50" t="s">
        <v>467</v>
      </c>
      <c r="I49" s="51">
        <v>1</v>
      </c>
      <c r="J49" s="621">
        <v>100000000</v>
      </c>
      <c r="K49" s="90">
        <v>100000000</v>
      </c>
      <c r="L49" s="44"/>
      <c r="M49" s="545"/>
      <c r="N49" s="488"/>
    </row>
    <row r="50" spans="2:17" ht="3.75" customHeight="1" x14ac:dyDescent="0.25">
      <c r="C50" s="95"/>
      <c r="D50" s="96"/>
      <c r="E50" s="673"/>
      <c r="F50" s="97"/>
      <c r="G50" s="674"/>
      <c r="H50" s="98"/>
      <c r="I50" s="99"/>
      <c r="J50" s="622"/>
      <c r="K50" s="100"/>
      <c r="L50" s="101"/>
      <c r="M50" s="552"/>
      <c r="N50" s="491"/>
    </row>
    <row r="51" spans="2:17" s="15" customFormat="1" ht="30" customHeight="1" x14ac:dyDescent="0.25">
      <c r="B51" s="13"/>
      <c r="C51" s="102"/>
      <c r="D51" s="1587" t="s">
        <v>75</v>
      </c>
      <c r="E51" s="1588"/>
      <c r="F51" s="1588"/>
      <c r="G51" s="1588"/>
      <c r="H51" s="1588"/>
      <c r="I51" s="1589"/>
      <c r="J51" s="623">
        <f>J52+J128+J153+J158+J166+J207+J211+J215+J222+J238+J244</f>
        <v>296526922971</v>
      </c>
      <c r="K51" s="103">
        <f>K52+K128+K153+K158+K166+K207+K211+K215+K222+K238+K244</f>
        <v>296526922971</v>
      </c>
      <c r="L51" s="104"/>
      <c r="M51" s="593"/>
      <c r="N51" s="14"/>
    </row>
    <row r="52" spans="2:17" s="15" customFormat="1" ht="32.25" customHeight="1" x14ac:dyDescent="0.25">
      <c r="B52" s="13"/>
      <c r="C52" s="1506" t="s">
        <v>438</v>
      </c>
      <c r="D52" s="1507"/>
      <c r="E52" s="1590" t="s">
        <v>76</v>
      </c>
      <c r="F52" s="1591"/>
      <c r="G52" s="1592"/>
      <c r="H52" s="105" t="s">
        <v>77</v>
      </c>
      <c r="I52" s="106"/>
      <c r="J52" s="624">
        <f>J53+J54+J57+J61+J64+J65+J66+J67+J89+J91+J94+J98+J104+J107+J111+J115+J117+J119+J121+J124</f>
        <v>175815000000</v>
      </c>
      <c r="K52" s="107">
        <f>K53+K54+K57+K61+K64+K65+K66+K67+K89+K91+K94+K98+K104+K107+K111+K115+K117+K119+K121+K124</f>
        <v>179015000000</v>
      </c>
      <c r="L52" s="108"/>
      <c r="M52" s="515"/>
      <c r="N52" s="108"/>
      <c r="O52" s="16">
        <v>1100000000</v>
      </c>
      <c r="P52" s="21">
        <v>172915000000</v>
      </c>
    </row>
    <row r="53" spans="2:17" s="113" customFormat="1" ht="27.75" customHeight="1" x14ac:dyDescent="0.25">
      <c r="B53" s="59"/>
      <c r="C53" s="114"/>
      <c r="D53" s="447"/>
      <c r="E53" s="88" t="s">
        <v>5</v>
      </c>
      <c r="F53" s="1579" t="s">
        <v>78</v>
      </c>
      <c r="G53" s="1580"/>
      <c r="H53" s="165" t="s">
        <v>79</v>
      </c>
      <c r="I53" s="110">
        <v>1</v>
      </c>
      <c r="J53" s="625">
        <f>550000000+200000000</f>
        <v>750000000</v>
      </c>
      <c r="K53" s="111">
        <f>550000000+200000000</f>
        <v>750000000</v>
      </c>
      <c r="L53" s="112"/>
      <c r="M53" s="553"/>
      <c r="N53" s="112"/>
    </row>
    <row r="54" spans="2:17" s="113" customFormat="1" ht="19.5" customHeight="1" x14ac:dyDescent="0.25">
      <c r="B54" s="59"/>
      <c r="C54" s="39"/>
      <c r="D54" s="109"/>
      <c r="E54" s="450" t="s">
        <v>10</v>
      </c>
      <c r="F54" s="1577" t="s">
        <v>80</v>
      </c>
      <c r="G54" s="1578"/>
      <c r="H54" s="173" t="s">
        <v>411</v>
      </c>
      <c r="I54" s="445" t="s">
        <v>430</v>
      </c>
      <c r="J54" s="626">
        <f>J55+J56</f>
        <v>850000000</v>
      </c>
      <c r="K54" s="117">
        <f>K55+K56</f>
        <v>850000000</v>
      </c>
      <c r="L54" s="118"/>
      <c r="M54" s="554"/>
      <c r="N54" s="118"/>
    </row>
    <row r="55" spans="2:17" s="113" customFormat="1" x14ac:dyDescent="0.25">
      <c r="B55" s="59"/>
      <c r="C55" s="119"/>
      <c r="D55" s="120"/>
      <c r="E55" s="121"/>
      <c r="F55" s="122" t="s">
        <v>46</v>
      </c>
      <c r="G55" s="123" t="s">
        <v>81</v>
      </c>
      <c r="H55" s="601"/>
      <c r="I55" s="124" t="s">
        <v>86</v>
      </c>
      <c r="J55" s="627">
        <v>500000000</v>
      </c>
      <c r="K55" s="125">
        <v>500000000</v>
      </c>
      <c r="L55" s="126"/>
      <c r="M55" s="555"/>
      <c r="N55" s="126"/>
    </row>
    <row r="56" spans="2:17" s="113" customFormat="1" x14ac:dyDescent="0.25">
      <c r="B56" s="59"/>
      <c r="C56" s="119"/>
      <c r="D56" s="120"/>
      <c r="E56" s="121"/>
      <c r="F56" s="122" t="s">
        <v>46</v>
      </c>
      <c r="G56" s="123" t="s">
        <v>82</v>
      </c>
      <c r="H56" s="601"/>
      <c r="I56" s="124" t="s">
        <v>86</v>
      </c>
      <c r="J56" s="627">
        <v>350000000</v>
      </c>
      <c r="K56" s="125">
        <v>350000000</v>
      </c>
      <c r="L56" s="126"/>
      <c r="M56" s="555"/>
      <c r="N56" s="126"/>
    </row>
    <row r="57" spans="2:17" s="113" customFormat="1" ht="21" customHeight="1" x14ac:dyDescent="0.25">
      <c r="B57" s="59"/>
      <c r="C57" s="39"/>
      <c r="D57" s="109"/>
      <c r="E57" s="449" t="s">
        <v>13</v>
      </c>
      <c r="F57" s="1581" t="s">
        <v>83</v>
      </c>
      <c r="G57" s="1581"/>
      <c r="H57" s="469" t="s">
        <v>412</v>
      </c>
      <c r="I57" s="444" t="s">
        <v>430</v>
      </c>
      <c r="J57" s="626">
        <f>SUM(J58:J59)</f>
        <v>400000000</v>
      </c>
      <c r="K57" s="117">
        <f>SUM(K58:K59)</f>
        <v>400000000</v>
      </c>
      <c r="L57" s="118"/>
      <c r="M57" s="556"/>
      <c r="N57" s="118"/>
    </row>
    <row r="58" spans="2:17" s="113" customFormat="1" x14ac:dyDescent="0.25">
      <c r="B58" s="59"/>
      <c r="C58" s="127"/>
      <c r="D58" s="128"/>
      <c r="E58" s="129"/>
      <c r="F58" s="130" t="s">
        <v>46</v>
      </c>
      <c r="G58" s="131" t="s">
        <v>84</v>
      </c>
      <c r="H58" s="602"/>
      <c r="I58" s="116" t="s">
        <v>86</v>
      </c>
      <c r="J58" s="627">
        <v>200000000</v>
      </c>
      <c r="K58" s="125">
        <v>200000000</v>
      </c>
      <c r="L58" s="126"/>
      <c r="M58" s="557"/>
      <c r="N58" s="126"/>
    </row>
    <row r="59" spans="2:17" s="113" customFormat="1" ht="14.25" customHeight="1" x14ac:dyDescent="0.25">
      <c r="B59" s="59"/>
      <c r="C59" s="119"/>
      <c r="D59" s="120"/>
      <c r="E59" s="121"/>
      <c r="F59" s="122" t="s">
        <v>46</v>
      </c>
      <c r="G59" s="123" t="s">
        <v>85</v>
      </c>
      <c r="H59" s="601"/>
      <c r="I59" s="124" t="s">
        <v>86</v>
      </c>
      <c r="J59" s="627">
        <v>200000000</v>
      </c>
      <c r="K59" s="125">
        <v>200000000</v>
      </c>
      <c r="L59" s="126"/>
      <c r="M59" s="555"/>
      <c r="N59" s="126"/>
    </row>
    <row r="60" spans="2:17" s="82" customFormat="1" ht="20.25" customHeight="1" x14ac:dyDescent="0.25">
      <c r="B60" s="59"/>
      <c r="C60" s="39"/>
      <c r="D60" s="109"/>
      <c r="E60" s="88" t="s">
        <v>16</v>
      </c>
      <c r="F60" s="1582" t="s">
        <v>87</v>
      </c>
      <c r="G60" s="1583"/>
      <c r="H60" s="676" t="s">
        <v>413</v>
      </c>
      <c r="I60" s="134">
        <v>1</v>
      </c>
      <c r="J60" s="628">
        <v>0</v>
      </c>
      <c r="K60" s="135">
        <v>0</v>
      </c>
      <c r="L60" s="108"/>
      <c r="M60" s="558"/>
      <c r="N60" s="108"/>
      <c r="O60" s="136"/>
    </row>
    <row r="61" spans="2:17" s="82" customFormat="1" ht="29.25" customHeight="1" x14ac:dyDescent="0.25">
      <c r="B61" s="59"/>
      <c r="C61" s="39"/>
      <c r="D61" s="109"/>
      <c r="E61" s="88" t="s">
        <v>19</v>
      </c>
      <c r="F61" s="1582" t="s">
        <v>88</v>
      </c>
      <c r="G61" s="1583"/>
      <c r="H61" s="469" t="s">
        <v>414</v>
      </c>
      <c r="I61" s="443" t="s">
        <v>430</v>
      </c>
      <c r="J61" s="626">
        <f>SUM(J62:J63)</f>
        <v>900000000</v>
      </c>
      <c r="K61" s="117">
        <f>SUM(K62:K63)</f>
        <v>900000000</v>
      </c>
      <c r="L61" s="118"/>
      <c r="M61" s="559"/>
      <c r="N61" s="118"/>
    </row>
    <row r="62" spans="2:17" s="113" customFormat="1" ht="15.75" customHeight="1" x14ac:dyDescent="0.25">
      <c r="B62" s="59"/>
      <c r="C62" s="119"/>
      <c r="D62" s="120"/>
      <c r="E62" s="121"/>
      <c r="F62" s="122" t="s">
        <v>46</v>
      </c>
      <c r="G62" s="138" t="s">
        <v>392</v>
      </c>
      <c r="H62" s="601"/>
      <c r="I62" s="137" t="s">
        <v>86</v>
      </c>
      <c r="J62" s="627">
        <v>600000000</v>
      </c>
      <c r="K62" s="125">
        <v>600000000</v>
      </c>
      <c r="L62" s="126"/>
      <c r="M62" s="560"/>
      <c r="N62" s="126"/>
    </row>
    <row r="63" spans="2:17" s="113" customFormat="1" ht="25.5" x14ac:dyDescent="0.25">
      <c r="B63" s="59"/>
      <c r="C63" s="119"/>
      <c r="D63" s="120"/>
      <c r="E63" s="121"/>
      <c r="F63" s="122" t="s">
        <v>46</v>
      </c>
      <c r="G63" s="138" t="s">
        <v>89</v>
      </c>
      <c r="H63" s="601"/>
      <c r="I63" s="137" t="s">
        <v>86</v>
      </c>
      <c r="J63" s="627">
        <v>300000000</v>
      </c>
      <c r="K63" s="125">
        <v>300000000</v>
      </c>
      <c r="L63" s="126"/>
      <c r="M63" s="519"/>
      <c r="N63" s="126"/>
    </row>
    <row r="64" spans="2:17" s="29" customFormat="1" ht="19.5" customHeight="1" x14ac:dyDescent="0.25">
      <c r="B64" s="13"/>
      <c r="C64" s="39"/>
      <c r="D64" s="140"/>
      <c r="E64" s="109" t="s">
        <v>27</v>
      </c>
      <c r="F64" s="1533" t="s">
        <v>90</v>
      </c>
      <c r="G64" s="1534"/>
      <c r="H64" s="172" t="s">
        <v>91</v>
      </c>
      <c r="I64" s="142" t="s">
        <v>92</v>
      </c>
      <c r="J64" s="629">
        <f>100000000</f>
        <v>100000000</v>
      </c>
      <c r="K64" s="143">
        <f>100000000</f>
        <v>100000000</v>
      </c>
      <c r="L64" s="144"/>
      <c r="M64" s="520"/>
      <c r="N64" s="492"/>
      <c r="Q64" s="145"/>
    </row>
    <row r="65" spans="2:17" s="62" customFormat="1" ht="19.5" customHeight="1" x14ac:dyDescent="0.25">
      <c r="B65" s="59"/>
      <c r="C65" s="39"/>
      <c r="D65" s="109"/>
      <c r="E65" s="88" t="s">
        <v>30</v>
      </c>
      <c r="F65" s="1582" t="s">
        <v>93</v>
      </c>
      <c r="G65" s="1583"/>
      <c r="H65" s="676" t="s">
        <v>94</v>
      </c>
      <c r="I65" s="442" t="s">
        <v>481</v>
      </c>
      <c r="J65" s="630">
        <f>7200000000+4000000000</f>
        <v>11200000000</v>
      </c>
      <c r="K65" s="146">
        <f>7200000000+4000000000</f>
        <v>11200000000</v>
      </c>
      <c r="L65" s="147"/>
      <c r="M65" s="521"/>
      <c r="N65" s="118"/>
      <c r="O65" s="148"/>
      <c r="Q65" s="148">
        <f>P65/800000</f>
        <v>0</v>
      </c>
    </row>
    <row r="66" spans="2:17" s="113" customFormat="1" ht="19.5" customHeight="1" x14ac:dyDescent="0.25">
      <c r="B66" s="59"/>
      <c r="C66" s="39"/>
      <c r="D66" s="109"/>
      <c r="E66" s="88" t="s">
        <v>8</v>
      </c>
      <c r="F66" s="1582" t="s">
        <v>95</v>
      </c>
      <c r="G66" s="1583"/>
      <c r="H66" s="469" t="s">
        <v>96</v>
      </c>
      <c r="I66" s="110" t="s">
        <v>429</v>
      </c>
      <c r="J66" s="631">
        <f>16100000000-10000000000+200000000</f>
        <v>6300000000</v>
      </c>
      <c r="K66" s="149">
        <f>16100000000-10000000000+200000000</f>
        <v>6300000000</v>
      </c>
      <c r="L66" s="150"/>
      <c r="M66" s="516"/>
      <c r="N66" s="112"/>
      <c r="P66" s="151"/>
    </row>
    <row r="67" spans="2:17" s="82" customFormat="1" ht="19.5" customHeight="1" x14ac:dyDescent="0.25">
      <c r="B67" s="59"/>
      <c r="C67" s="39"/>
      <c r="D67" s="109"/>
      <c r="E67" s="88" t="s">
        <v>22</v>
      </c>
      <c r="F67" s="1579" t="s">
        <v>97</v>
      </c>
      <c r="G67" s="1580"/>
      <c r="H67" s="152" t="s">
        <v>98</v>
      </c>
      <c r="I67" s="153">
        <v>1</v>
      </c>
      <c r="J67" s="632">
        <f>SUM(J68:J73)</f>
        <v>6600000000</v>
      </c>
      <c r="K67" s="154">
        <f>SUM(K68:K73)</f>
        <v>6600000000</v>
      </c>
      <c r="L67" s="118"/>
      <c r="M67" s="522"/>
      <c r="N67" s="118"/>
      <c r="P67" s="155"/>
    </row>
    <row r="68" spans="2:17" s="163" customFormat="1" x14ac:dyDescent="0.25">
      <c r="B68" s="59"/>
      <c r="C68" s="119"/>
      <c r="D68" s="156"/>
      <c r="E68" s="157"/>
      <c r="F68" s="158" t="s">
        <v>46</v>
      </c>
      <c r="G68" s="159" t="s">
        <v>99</v>
      </c>
      <c r="H68" s="160"/>
      <c r="I68" s="161"/>
      <c r="J68" s="633">
        <v>1100000000</v>
      </c>
      <c r="K68" s="162">
        <v>1100000000</v>
      </c>
      <c r="L68" s="126"/>
      <c r="M68" s="523"/>
      <c r="N68" s="126"/>
    </row>
    <row r="69" spans="2:17" s="163" customFormat="1" x14ac:dyDescent="0.25">
      <c r="B69" s="59"/>
      <c r="C69" s="119"/>
      <c r="D69" s="156"/>
      <c r="E69" s="157"/>
      <c r="F69" s="158" t="s">
        <v>46</v>
      </c>
      <c r="G69" s="159" t="s">
        <v>100</v>
      </c>
      <c r="H69" s="160"/>
      <c r="I69" s="161"/>
      <c r="J69" s="633">
        <v>1100000000</v>
      </c>
      <c r="K69" s="162">
        <v>1100000000</v>
      </c>
      <c r="L69" s="126"/>
      <c r="M69" s="523"/>
      <c r="N69" s="126"/>
      <c r="P69" s="164"/>
    </row>
    <row r="70" spans="2:17" s="163" customFormat="1" x14ac:dyDescent="0.25">
      <c r="B70" s="59"/>
      <c r="C70" s="119"/>
      <c r="D70" s="156"/>
      <c r="E70" s="157"/>
      <c r="F70" s="158" t="s">
        <v>46</v>
      </c>
      <c r="G70" s="159" t="s">
        <v>101</v>
      </c>
      <c r="H70" s="160"/>
      <c r="I70" s="161"/>
      <c r="J70" s="633">
        <v>1100000000</v>
      </c>
      <c r="K70" s="162">
        <v>1100000000</v>
      </c>
      <c r="L70" s="126"/>
      <c r="M70" s="523"/>
      <c r="N70" s="126"/>
    </row>
    <row r="71" spans="2:17" s="163" customFormat="1" x14ac:dyDescent="0.25">
      <c r="B71" s="59"/>
      <c r="C71" s="119"/>
      <c r="D71" s="156"/>
      <c r="E71" s="157"/>
      <c r="F71" s="158" t="s">
        <v>46</v>
      </c>
      <c r="G71" s="159" t="s">
        <v>102</v>
      </c>
      <c r="H71" s="160"/>
      <c r="I71" s="161"/>
      <c r="J71" s="633">
        <v>1100000000</v>
      </c>
      <c r="K71" s="162">
        <v>1100000000</v>
      </c>
      <c r="L71" s="126"/>
      <c r="M71" s="523"/>
      <c r="N71" s="126"/>
    </row>
    <row r="72" spans="2:17" s="163" customFormat="1" x14ac:dyDescent="0.25">
      <c r="B72" s="59"/>
      <c r="C72" s="119"/>
      <c r="D72" s="156"/>
      <c r="E72" s="157"/>
      <c r="F72" s="158" t="s">
        <v>46</v>
      </c>
      <c r="G72" s="159" t="s">
        <v>103</v>
      </c>
      <c r="H72" s="160"/>
      <c r="I72" s="161"/>
      <c r="J72" s="633">
        <v>1100000000</v>
      </c>
      <c r="K72" s="162">
        <v>1100000000</v>
      </c>
      <c r="L72" s="126"/>
      <c r="M72" s="523"/>
      <c r="N72" s="126"/>
    </row>
    <row r="73" spans="2:17" s="163" customFormat="1" x14ac:dyDescent="0.25">
      <c r="B73" s="59"/>
      <c r="C73" s="119"/>
      <c r="D73" s="156"/>
      <c r="E73" s="157"/>
      <c r="F73" s="158" t="s">
        <v>46</v>
      </c>
      <c r="G73" s="159" t="s">
        <v>104</v>
      </c>
      <c r="H73" s="160"/>
      <c r="I73" s="161"/>
      <c r="J73" s="633">
        <v>1100000000</v>
      </c>
      <c r="K73" s="162">
        <v>1100000000</v>
      </c>
      <c r="L73" s="126"/>
      <c r="M73" s="523"/>
      <c r="N73" s="126"/>
    </row>
    <row r="74" spans="2:17" s="113" customFormat="1" ht="19.5" customHeight="1" x14ac:dyDescent="0.25">
      <c r="B74" s="59"/>
      <c r="C74" s="39"/>
      <c r="D74" s="109"/>
      <c r="E74" s="88" t="s">
        <v>210</v>
      </c>
      <c r="F74" s="1577" t="s">
        <v>105</v>
      </c>
      <c r="G74" s="1578"/>
      <c r="H74" s="165" t="s">
        <v>106</v>
      </c>
      <c r="I74" s="166">
        <v>1</v>
      </c>
      <c r="J74" s="634">
        <v>0</v>
      </c>
      <c r="K74" s="167">
        <v>0</v>
      </c>
      <c r="L74" s="168"/>
      <c r="M74" s="524"/>
      <c r="N74" s="168"/>
      <c r="O74" s="113" t="s">
        <v>107</v>
      </c>
    </row>
    <row r="75" spans="2:17" s="113" customFormat="1" ht="15.75" hidden="1" customHeight="1" x14ac:dyDescent="0.25">
      <c r="B75" s="59"/>
      <c r="C75" s="119"/>
      <c r="D75" s="156"/>
      <c r="E75" s="157"/>
      <c r="F75" s="169" t="s">
        <v>46</v>
      </c>
      <c r="G75" s="170" t="s">
        <v>108</v>
      </c>
      <c r="H75" s="171"/>
      <c r="I75" s="116" t="s">
        <v>109</v>
      </c>
      <c r="J75" s="627">
        <v>17500000000</v>
      </c>
      <c r="K75" s="125">
        <v>17500000000</v>
      </c>
      <c r="L75" s="126"/>
      <c r="M75" s="517"/>
      <c r="N75" s="126"/>
    </row>
    <row r="76" spans="2:17" s="113" customFormat="1" ht="15.75" hidden="1" customHeight="1" x14ac:dyDescent="0.25">
      <c r="B76" s="59"/>
      <c r="C76" s="119"/>
      <c r="D76" s="156"/>
      <c r="E76" s="157"/>
      <c r="F76" s="169" t="s">
        <v>46</v>
      </c>
      <c r="G76" s="170" t="s">
        <v>110</v>
      </c>
      <c r="H76" s="171"/>
      <c r="I76" s="116" t="s">
        <v>111</v>
      </c>
      <c r="J76" s="627">
        <v>7500000000</v>
      </c>
      <c r="K76" s="125">
        <v>7500000000</v>
      </c>
      <c r="L76" s="126"/>
      <c r="M76" s="517"/>
      <c r="N76" s="126"/>
    </row>
    <row r="77" spans="2:17" s="113" customFormat="1" ht="15.75" hidden="1" customHeight="1" x14ac:dyDescent="0.25">
      <c r="B77" s="59"/>
      <c r="C77" s="119"/>
      <c r="D77" s="156"/>
      <c r="E77" s="157"/>
      <c r="F77" s="169" t="s">
        <v>46</v>
      </c>
      <c r="G77" s="170" t="s">
        <v>112</v>
      </c>
      <c r="H77" s="171"/>
      <c r="I77" s="116" t="s">
        <v>113</v>
      </c>
      <c r="J77" s="627">
        <v>15400000000</v>
      </c>
      <c r="K77" s="125">
        <v>15400000000</v>
      </c>
      <c r="L77" s="126"/>
      <c r="M77" s="517"/>
      <c r="N77" s="126"/>
    </row>
    <row r="78" spans="2:17" s="113" customFormat="1" ht="15.75" hidden="1" customHeight="1" x14ac:dyDescent="0.25">
      <c r="B78" s="59"/>
      <c r="C78" s="119"/>
      <c r="D78" s="156"/>
      <c r="E78" s="157"/>
      <c r="F78" s="169" t="s">
        <v>46</v>
      </c>
      <c r="G78" s="170" t="s">
        <v>114</v>
      </c>
      <c r="H78" s="171"/>
      <c r="I78" s="116" t="s">
        <v>115</v>
      </c>
      <c r="J78" s="627">
        <v>0</v>
      </c>
      <c r="K78" s="125">
        <v>0</v>
      </c>
      <c r="L78" s="126"/>
      <c r="M78" s="517"/>
      <c r="N78" s="126"/>
    </row>
    <row r="79" spans="2:17" s="113" customFormat="1" ht="15.75" hidden="1" customHeight="1" x14ac:dyDescent="0.25">
      <c r="B79" s="59"/>
      <c r="C79" s="119"/>
      <c r="D79" s="156"/>
      <c r="E79" s="157"/>
      <c r="F79" s="169" t="s">
        <v>46</v>
      </c>
      <c r="G79" s="170" t="s">
        <v>116</v>
      </c>
      <c r="H79" s="171"/>
      <c r="I79" s="116">
        <v>1</v>
      </c>
      <c r="J79" s="627">
        <v>1000000</v>
      </c>
      <c r="K79" s="125">
        <v>1000000</v>
      </c>
      <c r="L79" s="126"/>
      <c r="M79" s="517"/>
      <c r="N79" s="126"/>
    </row>
    <row r="80" spans="2:17" s="113" customFormat="1" ht="15.75" hidden="1" customHeight="1" x14ac:dyDescent="0.25">
      <c r="B80" s="59"/>
      <c r="C80" s="119"/>
      <c r="D80" s="156"/>
      <c r="E80" s="157"/>
      <c r="F80" s="169" t="s">
        <v>46</v>
      </c>
      <c r="G80" s="170" t="s">
        <v>117</v>
      </c>
      <c r="H80" s="171"/>
      <c r="I80" s="116">
        <v>1</v>
      </c>
      <c r="J80" s="627">
        <v>1000000</v>
      </c>
      <c r="K80" s="125">
        <v>1000000</v>
      </c>
      <c r="L80" s="126"/>
      <c r="M80" s="517"/>
      <c r="N80" s="126"/>
    </row>
    <row r="81" spans="2:17" s="113" customFormat="1" ht="30.75" hidden="1" customHeight="1" x14ac:dyDescent="0.25">
      <c r="B81" s="59"/>
      <c r="C81" s="119"/>
      <c r="D81" s="156"/>
      <c r="E81" s="157"/>
      <c r="F81" s="169" t="s">
        <v>46</v>
      </c>
      <c r="G81" s="170" t="s">
        <v>118</v>
      </c>
      <c r="H81" s="171"/>
      <c r="I81" s="116">
        <v>1</v>
      </c>
      <c r="J81" s="627">
        <v>1000000</v>
      </c>
      <c r="K81" s="125">
        <v>1000000</v>
      </c>
      <c r="L81" s="126"/>
      <c r="M81" s="517"/>
      <c r="N81" s="126"/>
    </row>
    <row r="82" spans="2:17" s="113" customFormat="1" ht="15.75" hidden="1" customHeight="1" x14ac:dyDescent="0.25">
      <c r="B82" s="59"/>
      <c r="C82" s="119"/>
      <c r="D82" s="156"/>
      <c r="E82" s="157"/>
      <c r="F82" s="169" t="s">
        <v>46</v>
      </c>
      <c r="G82" s="170" t="s">
        <v>119</v>
      </c>
      <c r="H82" s="171"/>
      <c r="I82" s="116">
        <v>1</v>
      </c>
      <c r="J82" s="627">
        <v>1000000</v>
      </c>
      <c r="K82" s="125">
        <v>1000000</v>
      </c>
      <c r="L82" s="126"/>
      <c r="M82" s="517"/>
      <c r="N82" s="126"/>
    </row>
    <row r="83" spans="2:17" s="113" customFormat="1" ht="15.75" hidden="1" customHeight="1" x14ac:dyDescent="0.25">
      <c r="B83" s="59"/>
      <c r="C83" s="119"/>
      <c r="D83" s="156"/>
      <c r="E83" s="157"/>
      <c r="F83" s="169" t="s">
        <v>46</v>
      </c>
      <c r="G83" s="170" t="s">
        <v>120</v>
      </c>
      <c r="H83" s="171"/>
      <c r="I83" s="116">
        <v>1</v>
      </c>
      <c r="J83" s="627">
        <v>1000000</v>
      </c>
      <c r="K83" s="125">
        <v>1000000</v>
      </c>
      <c r="L83" s="126"/>
      <c r="M83" s="517"/>
      <c r="N83" s="126"/>
    </row>
    <row r="84" spans="2:17" s="113" customFormat="1" ht="30.75" hidden="1" customHeight="1" x14ac:dyDescent="0.25">
      <c r="B84" s="59"/>
      <c r="C84" s="119"/>
      <c r="D84" s="156"/>
      <c r="E84" s="157"/>
      <c r="F84" s="169" t="s">
        <v>46</v>
      </c>
      <c r="G84" s="170" t="s">
        <v>121</v>
      </c>
      <c r="H84" s="171"/>
      <c r="I84" s="116">
        <v>1</v>
      </c>
      <c r="J84" s="627">
        <v>1000000</v>
      </c>
      <c r="K84" s="125">
        <v>1000000</v>
      </c>
      <c r="L84" s="126"/>
      <c r="M84" s="517"/>
      <c r="N84" s="126"/>
    </row>
    <row r="85" spans="2:17" s="113" customFormat="1" ht="30.75" hidden="1" customHeight="1" x14ac:dyDescent="0.25">
      <c r="B85" s="59"/>
      <c r="C85" s="119"/>
      <c r="D85" s="156"/>
      <c r="E85" s="157"/>
      <c r="F85" s="169" t="s">
        <v>46</v>
      </c>
      <c r="G85" s="170" t="s">
        <v>122</v>
      </c>
      <c r="H85" s="171"/>
      <c r="I85" s="116">
        <v>1</v>
      </c>
      <c r="J85" s="627">
        <v>1000000</v>
      </c>
      <c r="K85" s="125">
        <v>1000000</v>
      </c>
      <c r="L85" s="126"/>
      <c r="M85" s="517"/>
      <c r="N85" s="126"/>
    </row>
    <row r="86" spans="2:17" s="113" customFormat="1" ht="15.75" hidden="1" customHeight="1" x14ac:dyDescent="0.25">
      <c r="B86" s="59"/>
      <c r="C86" s="119"/>
      <c r="D86" s="156"/>
      <c r="E86" s="157"/>
      <c r="F86" s="169" t="s">
        <v>46</v>
      </c>
      <c r="G86" s="170" t="s">
        <v>123</v>
      </c>
      <c r="H86" s="171"/>
      <c r="I86" s="116">
        <v>2</v>
      </c>
      <c r="J86" s="627">
        <v>1000000</v>
      </c>
      <c r="K86" s="125">
        <v>1000000</v>
      </c>
      <c r="L86" s="126"/>
      <c r="M86" s="517"/>
      <c r="N86" s="126"/>
    </row>
    <row r="87" spans="2:17" s="113" customFormat="1" ht="15.75" hidden="1" customHeight="1" x14ac:dyDescent="0.25">
      <c r="B87" s="59"/>
      <c r="C87" s="119"/>
      <c r="D87" s="156"/>
      <c r="E87" s="157"/>
      <c r="F87" s="169" t="s">
        <v>46</v>
      </c>
      <c r="G87" s="170" t="s">
        <v>124</v>
      </c>
      <c r="H87" s="171"/>
      <c r="I87" s="116">
        <v>1</v>
      </c>
      <c r="J87" s="627">
        <v>1000000</v>
      </c>
      <c r="K87" s="125">
        <v>1000000</v>
      </c>
      <c r="L87" s="126"/>
      <c r="M87" s="517"/>
      <c r="N87" s="126"/>
    </row>
    <row r="88" spans="2:17" s="113" customFormat="1" ht="21.75" hidden="1" customHeight="1" x14ac:dyDescent="0.25">
      <c r="B88" s="59"/>
      <c r="C88" s="39"/>
      <c r="D88" s="109"/>
      <c r="E88" s="88"/>
      <c r="F88" s="1577" t="s">
        <v>125</v>
      </c>
      <c r="G88" s="1578"/>
      <c r="H88" s="172" t="s">
        <v>126</v>
      </c>
      <c r="I88" s="110"/>
      <c r="J88" s="625">
        <v>0</v>
      </c>
      <c r="K88" s="111">
        <v>0</v>
      </c>
      <c r="L88" s="112"/>
      <c r="M88" s="516"/>
      <c r="N88" s="112"/>
    </row>
    <row r="89" spans="2:17" s="62" customFormat="1" ht="21" customHeight="1" x14ac:dyDescent="0.25">
      <c r="B89" s="59"/>
      <c r="C89" s="39"/>
      <c r="D89" s="109"/>
      <c r="E89" s="88" t="s">
        <v>439</v>
      </c>
      <c r="F89" s="1577" t="s">
        <v>127</v>
      </c>
      <c r="G89" s="1578"/>
      <c r="H89" s="173" t="s">
        <v>128</v>
      </c>
      <c r="I89" s="134" t="s">
        <v>397</v>
      </c>
      <c r="J89" s="626">
        <f>SUM(J90:J90)</f>
        <v>10000000000</v>
      </c>
      <c r="K89" s="117">
        <f>SUM(K90:K90)</f>
        <v>10000000000</v>
      </c>
      <c r="L89" s="118"/>
      <c r="M89" s="518"/>
      <c r="N89" s="118"/>
    </row>
    <row r="90" spans="2:17" s="113" customFormat="1" x14ac:dyDescent="0.25">
      <c r="B90" s="59"/>
      <c r="C90" s="127"/>
      <c r="D90" s="128"/>
      <c r="E90" s="115"/>
      <c r="F90" s="174" t="s">
        <v>46</v>
      </c>
      <c r="G90" s="175" t="s">
        <v>129</v>
      </c>
      <c r="H90" s="602"/>
      <c r="I90" s="176" t="s">
        <v>393</v>
      </c>
      <c r="J90" s="635">
        <v>10000000000</v>
      </c>
      <c r="K90" s="177">
        <v>10000000000</v>
      </c>
      <c r="L90" s="178"/>
      <c r="M90" s="525"/>
      <c r="N90" s="178"/>
    </row>
    <row r="91" spans="2:17" s="62" customFormat="1" ht="19.5" customHeight="1" x14ac:dyDescent="0.25">
      <c r="B91" s="59"/>
      <c r="C91" s="39"/>
      <c r="D91" s="109"/>
      <c r="E91" s="88" t="s">
        <v>440</v>
      </c>
      <c r="F91" s="1577" t="s">
        <v>130</v>
      </c>
      <c r="G91" s="1578"/>
      <c r="H91" s="165" t="s">
        <v>131</v>
      </c>
      <c r="I91" s="134" t="s">
        <v>398</v>
      </c>
      <c r="J91" s="626">
        <f>SUM(J92:J93)</f>
        <v>12000000000</v>
      </c>
      <c r="K91" s="117">
        <f>SUM(K92:K93)</f>
        <v>12000000000</v>
      </c>
      <c r="L91" s="118"/>
      <c r="M91" s="518"/>
      <c r="N91" s="118"/>
    </row>
    <row r="92" spans="2:17" s="113" customFormat="1" x14ac:dyDescent="0.25">
      <c r="B92" s="59"/>
      <c r="C92" s="127"/>
      <c r="D92" s="128"/>
      <c r="E92" s="115"/>
      <c r="F92" s="130" t="s">
        <v>46</v>
      </c>
      <c r="G92" s="180" t="s">
        <v>132</v>
      </c>
      <c r="H92" s="602"/>
      <c r="I92" s="176" t="s">
        <v>133</v>
      </c>
      <c r="J92" s="635">
        <f>4200000000+1800000000</f>
        <v>6000000000</v>
      </c>
      <c r="K92" s="177">
        <v>6000000000</v>
      </c>
      <c r="L92" s="178"/>
      <c r="M92" s="525"/>
      <c r="N92" s="178"/>
      <c r="O92" s="181"/>
      <c r="Q92" s="181"/>
    </row>
    <row r="93" spans="2:17" s="113" customFormat="1" x14ac:dyDescent="0.25">
      <c r="B93" s="59"/>
      <c r="C93" s="127"/>
      <c r="D93" s="128"/>
      <c r="E93" s="115"/>
      <c r="F93" s="130" t="s">
        <v>46</v>
      </c>
      <c r="G93" s="180" t="s">
        <v>135</v>
      </c>
      <c r="H93" s="602"/>
      <c r="I93" s="176" t="s">
        <v>133</v>
      </c>
      <c r="J93" s="635">
        <v>6000000000</v>
      </c>
      <c r="K93" s="177">
        <v>6000000000</v>
      </c>
      <c r="L93" s="178"/>
      <c r="M93" s="585"/>
      <c r="N93" s="178"/>
    </row>
    <row r="94" spans="2:17" s="62" customFormat="1" ht="28.5" customHeight="1" x14ac:dyDescent="0.25">
      <c r="B94" s="59"/>
      <c r="C94" s="598"/>
      <c r="D94" s="599"/>
      <c r="E94" s="697" t="s">
        <v>441</v>
      </c>
      <c r="F94" s="1546" t="s">
        <v>136</v>
      </c>
      <c r="G94" s="1547"/>
      <c r="H94" s="698" t="s">
        <v>137</v>
      </c>
      <c r="I94" s="699" t="s">
        <v>404</v>
      </c>
      <c r="J94" s="700">
        <f>SUM(J95:J97)</f>
        <v>26300000000</v>
      </c>
      <c r="K94" s="701">
        <f>SUM(K95:K97)</f>
        <v>28000000000</v>
      </c>
      <c r="L94" s="118"/>
      <c r="M94" s="586"/>
      <c r="N94" s="118"/>
    </row>
    <row r="95" spans="2:17" s="113" customFormat="1" x14ac:dyDescent="0.25">
      <c r="B95" s="59"/>
      <c r="C95" s="127"/>
      <c r="D95" s="128"/>
      <c r="E95" s="115"/>
      <c r="F95" s="130" t="s">
        <v>46</v>
      </c>
      <c r="G95" s="201" t="s">
        <v>138</v>
      </c>
      <c r="H95" s="602"/>
      <c r="I95" s="116" t="s">
        <v>109</v>
      </c>
      <c r="J95" s="635">
        <f>12500000000+500000000</f>
        <v>13000000000</v>
      </c>
      <c r="K95" s="177">
        <v>13000000000</v>
      </c>
      <c r="L95" s="178"/>
      <c r="M95" s="585"/>
      <c r="N95" s="178"/>
    </row>
    <row r="96" spans="2:17" s="113" customFormat="1" ht="12.75" customHeight="1" x14ac:dyDescent="0.25">
      <c r="B96" s="59"/>
      <c r="C96" s="127"/>
      <c r="D96" s="128"/>
      <c r="E96" s="115"/>
      <c r="F96" s="130" t="s">
        <v>46</v>
      </c>
      <c r="G96" s="201" t="s">
        <v>139</v>
      </c>
      <c r="H96" s="604"/>
      <c r="I96" s="116" t="s">
        <v>159</v>
      </c>
      <c r="J96" s="635">
        <v>5800000000</v>
      </c>
      <c r="K96" s="702">
        <f>5800000000+1700000000</f>
        <v>7500000000</v>
      </c>
      <c r="L96" s="178"/>
      <c r="M96" s="585"/>
      <c r="N96" s="178"/>
    </row>
    <row r="97" spans="2:15" s="113" customFormat="1" ht="15" customHeight="1" x14ac:dyDescent="0.25">
      <c r="B97" s="59"/>
      <c r="C97" s="127"/>
      <c r="D97" s="128"/>
      <c r="E97" s="115"/>
      <c r="F97" s="130" t="s">
        <v>46</v>
      </c>
      <c r="G97" s="201" t="s">
        <v>140</v>
      </c>
      <c r="H97" s="602"/>
      <c r="I97" s="116" t="s">
        <v>111</v>
      </c>
      <c r="J97" s="635">
        <v>7500000000</v>
      </c>
      <c r="K97" s="177">
        <v>7500000000</v>
      </c>
      <c r="L97" s="178"/>
      <c r="M97" s="585"/>
      <c r="N97" s="178"/>
    </row>
    <row r="98" spans="2:15" s="113" customFormat="1" ht="31.5" customHeight="1" x14ac:dyDescent="0.25">
      <c r="B98" s="59"/>
      <c r="C98" s="598"/>
      <c r="D98" s="599"/>
      <c r="E98" s="697" t="s">
        <v>442</v>
      </c>
      <c r="F98" s="1546" t="s">
        <v>145</v>
      </c>
      <c r="G98" s="1547"/>
      <c r="H98" s="707" t="s">
        <v>146</v>
      </c>
      <c r="I98" s="699" t="s">
        <v>113</v>
      </c>
      <c r="J98" s="708">
        <f>SUM(J99:J103)</f>
        <v>21200000000</v>
      </c>
      <c r="K98" s="709">
        <f>SUM(K99:K103)</f>
        <v>22200000000</v>
      </c>
      <c r="L98" s="112"/>
      <c r="M98" s="585"/>
      <c r="N98" s="112"/>
    </row>
    <row r="99" spans="2:15" s="113" customFormat="1" ht="15.75" customHeight="1" x14ac:dyDescent="0.25">
      <c r="B99" s="59"/>
      <c r="C99" s="127"/>
      <c r="D99" s="128"/>
      <c r="E99" s="115"/>
      <c r="F99" s="130" t="s">
        <v>46</v>
      </c>
      <c r="G99" s="175" t="s">
        <v>147</v>
      </c>
      <c r="H99" s="602"/>
      <c r="I99" s="176" t="s">
        <v>111</v>
      </c>
      <c r="J99" s="635">
        <v>5000000000</v>
      </c>
      <c r="K99" s="177">
        <v>5000000000</v>
      </c>
      <c r="L99" s="178"/>
      <c r="M99" s="585"/>
      <c r="N99" s="178"/>
    </row>
    <row r="100" spans="2:15" s="113" customFormat="1" ht="15.75" customHeight="1" x14ac:dyDescent="0.25">
      <c r="B100" s="59"/>
      <c r="C100" s="127"/>
      <c r="D100" s="128"/>
      <c r="E100" s="115"/>
      <c r="F100" s="130" t="s">
        <v>46</v>
      </c>
      <c r="G100" s="175" t="s">
        <v>149</v>
      </c>
      <c r="H100" s="602"/>
      <c r="I100" s="176" t="s">
        <v>142</v>
      </c>
      <c r="J100" s="635">
        <v>6000000000</v>
      </c>
      <c r="K100" s="177">
        <v>6000000000</v>
      </c>
      <c r="L100" s="178"/>
      <c r="M100" s="585"/>
      <c r="N100" s="178"/>
    </row>
    <row r="101" spans="2:15" s="113" customFormat="1" x14ac:dyDescent="0.25">
      <c r="B101" s="59"/>
      <c r="C101" s="127"/>
      <c r="D101" s="128"/>
      <c r="E101" s="115"/>
      <c r="F101" s="174" t="s">
        <v>46</v>
      </c>
      <c r="G101" s="175" t="s">
        <v>150</v>
      </c>
      <c r="H101" s="602"/>
      <c r="I101" s="176" t="s">
        <v>399</v>
      </c>
      <c r="J101" s="635">
        <f>3000000000+3000000000</f>
        <v>6000000000</v>
      </c>
      <c r="K101" s="177">
        <v>6000000000</v>
      </c>
      <c r="L101" s="178"/>
      <c r="M101" s="585"/>
      <c r="N101" s="178"/>
    </row>
    <row r="102" spans="2:15" s="113" customFormat="1" ht="15.75" customHeight="1" x14ac:dyDescent="0.25">
      <c r="B102" s="703"/>
      <c r="C102" s="127"/>
      <c r="D102" s="128"/>
      <c r="E102" s="129"/>
      <c r="F102" s="706" t="s">
        <v>46</v>
      </c>
      <c r="G102" s="175" t="s">
        <v>394</v>
      </c>
      <c r="H102" s="602"/>
      <c r="I102" s="176" t="s">
        <v>174</v>
      </c>
      <c r="J102" s="635">
        <v>1000000000</v>
      </c>
      <c r="K102" s="702">
        <f>500000000+1000000000</f>
        <v>1500000000</v>
      </c>
      <c r="L102" s="178"/>
      <c r="M102" s="585"/>
      <c r="N102" s="178"/>
    </row>
    <row r="103" spans="2:15" s="113" customFormat="1" ht="15.75" customHeight="1" x14ac:dyDescent="0.25">
      <c r="B103" s="703"/>
      <c r="C103" s="127"/>
      <c r="D103" s="128"/>
      <c r="E103" s="129"/>
      <c r="F103" s="706" t="s">
        <v>46</v>
      </c>
      <c r="G103" s="175" t="s">
        <v>484</v>
      </c>
      <c r="H103" s="602"/>
      <c r="I103" s="176" t="s">
        <v>399</v>
      </c>
      <c r="J103" s="635">
        <v>3200000000</v>
      </c>
      <c r="K103" s="702">
        <f>500000000+3200000000</f>
        <v>3700000000</v>
      </c>
      <c r="L103" s="178"/>
      <c r="M103" s="585"/>
      <c r="N103" s="178"/>
    </row>
    <row r="104" spans="2:15" s="62" customFormat="1" ht="26.25" customHeight="1" x14ac:dyDescent="0.25">
      <c r="B104" s="59"/>
      <c r="C104" s="39"/>
      <c r="D104" s="109"/>
      <c r="E104" s="88" t="s">
        <v>443</v>
      </c>
      <c r="F104" s="1579" t="s">
        <v>155</v>
      </c>
      <c r="G104" s="1580"/>
      <c r="H104" s="173" t="s">
        <v>156</v>
      </c>
      <c r="I104" s="200" t="s">
        <v>141</v>
      </c>
      <c r="J104" s="626">
        <f>SUM(J105:J106)</f>
        <v>13500000000</v>
      </c>
      <c r="K104" s="117">
        <f>SUM(K105:K106)</f>
        <v>13500000000</v>
      </c>
      <c r="L104" s="118"/>
      <c r="M104" s="586"/>
      <c r="N104" s="118"/>
    </row>
    <row r="105" spans="2:15" s="113" customFormat="1" ht="13.5" customHeight="1" x14ac:dyDescent="0.25">
      <c r="B105" s="59"/>
      <c r="C105" s="127"/>
      <c r="D105" s="128"/>
      <c r="E105" s="115"/>
      <c r="F105" s="174" t="s">
        <v>46</v>
      </c>
      <c r="G105" s="175" t="s">
        <v>157</v>
      </c>
      <c r="H105" s="602"/>
      <c r="I105" s="116" t="s">
        <v>111</v>
      </c>
      <c r="J105" s="635">
        <v>7500000000</v>
      </c>
      <c r="K105" s="177">
        <v>7500000000</v>
      </c>
      <c r="L105" s="178"/>
      <c r="M105" s="585"/>
      <c r="N105" s="178"/>
    </row>
    <row r="106" spans="2:15" s="133" customFormat="1" x14ac:dyDescent="0.25">
      <c r="B106" s="59"/>
      <c r="C106" s="194"/>
      <c r="D106" s="195"/>
      <c r="E106" s="204"/>
      <c r="F106" s="130" t="s">
        <v>46</v>
      </c>
      <c r="G106" s="175" t="s">
        <v>158</v>
      </c>
      <c r="H106" s="602"/>
      <c r="I106" s="116" t="s">
        <v>111</v>
      </c>
      <c r="J106" s="635">
        <v>6000000000</v>
      </c>
      <c r="K106" s="177">
        <v>6000000000</v>
      </c>
      <c r="L106" s="199"/>
      <c r="M106" s="588"/>
      <c r="N106" s="199"/>
    </row>
    <row r="107" spans="2:15" s="62" customFormat="1" ht="24.75" customHeight="1" x14ac:dyDescent="0.25">
      <c r="B107" s="59"/>
      <c r="C107" s="39"/>
      <c r="D107" s="109"/>
      <c r="E107" s="88" t="s">
        <v>444</v>
      </c>
      <c r="F107" s="1577" t="s">
        <v>160</v>
      </c>
      <c r="G107" s="1578"/>
      <c r="H107" s="165" t="s">
        <v>161</v>
      </c>
      <c r="I107" s="200" t="s">
        <v>400</v>
      </c>
      <c r="J107" s="630">
        <f>SUM(J108:J110)</f>
        <v>14450000000</v>
      </c>
      <c r="K107" s="146">
        <f>SUM(K108:K110)</f>
        <v>14450000000</v>
      </c>
      <c r="L107" s="147"/>
      <c r="M107" s="586"/>
      <c r="N107" s="118"/>
    </row>
    <row r="108" spans="2:15" s="113" customFormat="1" ht="15.75" customHeight="1" x14ac:dyDescent="0.25">
      <c r="B108" s="59"/>
      <c r="C108" s="127"/>
      <c r="D108" s="128"/>
      <c r="E108" s="448"/>
      <c r="F108" s="174" t="s">
        <v>46</v>
      </c>
      <c r="G108" s="139" t="s">
        <v>162</v>
      </c>
      <c r="H108" s="602"/>
      <c r="I108" s="176" t="s">
        <v>148</v>
      </c>
      <c r="J108" s="635">
        <f>7500000000+450000000</f>
        <v>7950000000</v>
      </c>
      <c r="K108" s="177">
        <v>7950000000</v>
      </c>
      <c r="L108" s="178"/>
      <c r="M108" s="585"/>
      <c r="N108" s="178"/>
    </row>
    <row r="109" spans="2:15" s="113" customFormat="1" ht="15.75" customHeight="1" x14ac:dyDescent="0.25">
      <c r="B109" s="59"/>
      <c r="C109" s="127"/>
      <c r="D109" s="128"/>
      <c r="E109" s="115"/>
      <c r="F109" s="174" t="s">
        <v>46</v>
      </c>
      <c r="G109" s="139" t="s">
        <v>163</v>
      </c>
      <c r="H109" s="602"/>
      <c r="I109" s="176" t="s">
        <v>111</v>
      </c>
      <c r="J109" s="635">
        <v>3000000000</v>
      </c>
      <c r="K109" s="177">
        <v>3000000000</v>
      </c>
      <c r="L109" s="178"/>
      <c r="M109" s="585"/>
      <c r="N109" s="178"/>
    </row>
    <row r="110" spans="2:15" s="133" customFormat="1" ht="27" customHeight="1" x14ac:dyDescent="0.25">
      <c r="B110" s="59"/>
      <c r="C110" s="194"/>
      <c r="D110" s="195"/>
      <c r="E110" s="204"/>
      <c r="F110" s="704" t="s">
        <v>46</v>
      </c>
      <c r="G110" s="139" t="s">
        <v>164</v>
      </c>
      <c r="H110" s="602"/>
      <c r="I110" s="176" t="s">
        <v>165</v>
      </c>
      <c r="J110" s="635">
        <v>3500000000</v>
      </c>
      <c r="K110" s="177">
        <v>3500000000</v>
      </c>
      <c r="L110" s="199"/>
      <c r="M110" s="588"/>
      <c r="N110" s="199"/>
    </row>
    <row r="111" spans="2:15" s="62" customFormat="1" ht="27" customHeight="1" x14ac:dyDescent="0.25">
      <c r="B111" s="59"/>
      <c r="C111" s="598"/>
      <c r="D111" s="599"/>
      <c r="E111" s="697" t="s">
        <v>445</v>
      </c>
      <c r="F111" s="1546" t="s">
        <v>167</v>
      </c>
      <c r="G111" s="1547"/>
      <c r="H111" s="698" t="s">
        <v>168</v>
      </c>
      <c r="I111" s="710" t="s">
        <v>405</v>
      </c>
      <c r="J111" s="711">
        <f>SUM(J112:J114)</f>
        <v>11065000000</v>
      </c>
      <c r="K111" s="712">
        <f>SUM(K112:K114)</f>
        <v>11565000000</v>
      </c>
      <c r="L111" s="147"/>
      <c r="M111" s="589"/>
      <c r="N111" s="118"/>
      <c r="O111" s="179"/>
    </row>
    <row r="112" spans="2:15" s="113" customFormat="1" x14ac:dyDescent="0.25">
      <c r="B112" s="59"/>
      <c r="C112" s="127"/>
      <c r="D112" s="128"/>
      <c r="E112" s="115"/>
      <c r="F112" s="174" t="s">
        <v>46</v>
      </c>
      <c r="G112" s="175" t="s">
        <v>150</v>
      </c>
      <c r="H112" s="602"/>
      <c r="I112" s="116" t="s">
        <v>159</v>
      </c>
      <c r="J112" s="635">
        <v>4215000000</v>
      </c>
      <c r="K112" s="177">
        <f>4000000000+215000000</f>
        <v>4215000000</v>
      </c>
      <c r="L112" s="178"/>
      <c r="M112" s="585"/>
      <c r="N112" s="178"/>
    </row>
    <row r="113" spans="2:17" s="113" customFormat="1" x14ac:dyDescent="0.25">
      <c r="B113" s="59"/>
      <c r="C113" s="127"/>
      <c r="D113" s="128"/>
      <c r="E113" s="115"/>
      <c r="F113" s="174" t="s">
        <v>46</v>
      </c>
      <c r="G113" s="175" t="s">
        <v>169</v>
      </c>
      <c r="H113" s="602"/>
      <c r="I113" s="116" t="s">
        <v>148</v>
      </c>
      <c r="J113" s="635">
        <v>6000000000</v>
      </c>
      <c r="K113" s="177">
        <v>6000000000</v>
      </c>
      <c r="L113" s="178"/>
      <c r="M113" s="585"/>
      <c r="N113" s="178"/>
    </row>
    <row r="114" spans="2:17" s="113" customFormat="1" ht="15.75" customHeight="1" x14ac:dyDescent="0.25">
      <c r="B114" s="703"/>
      <c r="C114" s="127"/>
      <c r="D114" s="128"/>
      <c r="E114" s="129"/>
      <c r="F114" s="704" t="s">
        <v>46</v>
      </c>
      <c r="G114" s="175" t="s">
        <v>170</v>
      </c>
      <c r="H114" s="602"/>
      <c r="I114" s="705" t="s">
        <v>401</v>
      </c>
      <c r="J114" s="635">
        <v>850000000</v>
      </c>
      <c r="K114" s="702">
        <f>500000000+850000000</f>
        <v>1350000000</v>
      </c>
      <c r="L114" s="178"/>
      <c r="M114" s="585"/>
      <c r="N114" s="178"/>
    </row>
    <row r="115" spans="2:17" s="62" customFormat="1" ht="31.5" customHeight="1" x14ac:dyDescent="0.25">
      <c r="B115" s="59"/>
      <c r="C115" s="39"/>
      <c r="D115" s="109"/>
      <c r="E115" s="88" t="s">
        <v>446</v>
      </c>
      <c r="F115" s="1577" t="s">
        <v>172</v>
      </c>
      <c r="G115" s="1578"/>
      <c r="H115" s="173" t="s">
        <v>173</v>
      </c>
      <c r="I115" s="200" t="str">
        <f>I116</f>
        <v>0,5 Km</v>
      </c>
      <c r="J115" s="630">
        <f>J116</f>
        <v>3000000000</v>
      </c>
      <c r="K115" s="146">
        <f>K116</f>
        <v>3000000000</v>
      </c>
      <c r="L115" s="147"/>
      <c r="M115" s="586"/>
      <c r="N115" s="118"/>
    </row>
    <row r="116" spans="2:17" s="113" customFormat="1" x14ac:dyDescent="0.25">
      <c r="B116" s="59"/>
      <c r="C116" s="127"/>
      <c r="D116" s="128"/>
      <c r="E116" s="115"/>
      <c r="F116" s="130" t="s">
        <v>46</v>
      </c>
      <c r="G116" s="175" t="s">
        <v>175</v>
      </c>
      <c r="H116" s="602"/>
      <c r="I116" s="176" t="s">
        <v>144</v>
      </c>
      <c r="J116" s="627">
        <v>3000000000</v>
      </c>
      <c r="K116" s="125">
        <v>3000000000</v>
      </c>
      <c r="L116" s="126"/>
      <c r="M116" s="585"/>
      <c r="N116" s="126"/>
    </row>
    <row r="117" spans="2:17" s="113" customFormat="1" ht="29.25" customHeight="1" x14ac:dyDescent="0.25">
      <c r="B117" s="59"/>
      <c r="C117" s="39"/>
      <c r="D117" s="109"/>
      <c r="E117" s="88" t="s">
        <v>447</v>
      </c>
      <c r="F117" s="1577" t="s">
        <v>176</v>
      </c>
      <c r="G117" s="1578"/>
      <c r="H117" s="173" t="s">
        <v>177</v>
      </c>
      <c r="I117" s="200" t="str">
        <f>I118</f>
        <v>0,9 Km</v>
      </c>
      <c r="J117" s="625">
        <f>SUM(J118)</f>
        <v>5000000000</v>
      </c>
      <c r="K117" s="111">
        <f>SUM(K118)</f>
        <v>5000000000</v>
      </c>
      <c r="L117" s="112"/>
      <c r="M117" s="585"/>
      <c r="N117" s="112"/>
    </row>
    <row r="118" spans="2:17" s="113" customFormat="1" ht="15.75" customHeight="1" x14ac:dyDescent="0.25">
      <c r="B118" s="59"/>
      <c r="C118" s="127"/>
      <c r="D118" s="128"/>
      <c r="E118" s="216"/>
      <c r="F118" s="130" t="s">
        <v>46</v>
      </c>
      <c r="G118" s="175" t="s">
        <v>178</v>
      </c>
      <c r="H118" s="602"/>
      <c r="I118" s="217" t="s">
        <v>396</v>
      </c>
      <c r="J118" s="638">
        <v>5000000000</v>
      </c>
      <c r="K118" s="218">
        <v>5000000000</v>
      </c>
      <c r="L118" s="219"/>
      <c r="M118" s="585"/>
      <c r="N118" s="493"/>
    </row>
    <row r="119" spans="2:17" s="113" customFormat="1" ht="24" customHeight="1" x14ac:dyDescent="0.25">
      <c r="B119" s="59"/>
      <c r="C119" s="39"/>
      <c r="D119" s="109"/>
      <c r="E119" s="88" t="s">
        <v>389</v>
      </c>
      <c r="F119" s="1577" t="s">
        <v>179</v>
      </c>
      <c r="G119" s="1578"/>
      <c r="H119" s="173" t="s">
        <v>180</v>
      </c>
      <c r="I119" s="200" t="str">
        <f>I120</f>
        <v>1,1 Km</v>
      </c>
      <c r="J119" s="625">
        <f>SUM(J120)</f>
        <v>12000000000</v>
      </c>
      <c r="K119" s="111">
        <f>SUM(K120)</f>
        <v>12000000000</v>
      </c>
      <c r="L119" s="112"/>
      <c r="M119" s="585"/>
      <c r="N119" s="112"/>
    </row>
    <row r="120" spans="2:17" s="113" customFormat="1" ht="13.5" customHeight="1" x14ac:dyDescent="0.25">
      <c r="B120" s="59"/>
      <c r="C120" s="127"/>
      <c r="D120" s="128"/>
      <c r="E120" s="115"/>
      <c r="F120" s="130" t="s">
        <v>46</v>
      </c>
      <c r="G120" s="220" t="s">
        <v>468</v>
      </c>
      <c r="H120" s="602"/>
      <c r="I120" s="176" t="s">
        <v>406</v>
      </c>
      <c r="J120" s="635">
        <v>12000000000</v>
      </c>
      <c r="K120" s="177">
        <v>12000000000</v>
      </c>
      <c r="L120" s="178"/>
      <c r="M120" s="585"/>
      <c r="N120" s="178"/>
    </row>
    <row r="121" spans="2:17" s="62" customFormat="1" ht="27.75" customHeight="1" x14ac:dyDescent="0.25">
      <c r="B121" s="59"/>
      <c r="C121" s="39"/>
      <c r="D121" s="109"/>
      <c r="E121" s="88" t="s">
        <v>448</v>
      </c>
      <c r="F121" s="1577" t="s">
        <v>181</v>
      </c>
      <c r="G121" s="1578"/>
      <c r="H121" s="173" t="s">
        <v>182</v>
      </c>
      <c r="I121" s="200" t="s">
        <v>462</v>
      </c>
      <c r="J121" s="626">
        <f>SUM(J122:J123)</f>
        <v>8700000000</v>
      </c>
      <c r="K121" s="117">
        <f>SUM(K122:K123)</f>
        <v>8700000000</v>
      </c>
      <c r="L121" s="118"/>
      <c r="M121" s="589"/>
      <c r="N121" s="118"/>
      <c r="O121" s="179"/>
    </row>
    <row r="122" spans="2:17" s="113" customFormat="1" x14ac:dyDescent="0.25">
      <c r="B122" s="59"/>
      <c r="C122" s="127"/>
      <c r="D122" s="128"/>
      <c r="E122" s="115"/>
      <c r="F122" s="174" t="s">
        <v>46</v>
      </c>
      <c r="G122" s="175" t="s">
        <v>424</v>
      </c>
      <c r="H122" s="602"/>
      <c r="I122" s="176" t="s">
        <v>451</v>
      </c>
      <c r="J122" s="635">
        <v>3000000000</v>
      </c>
      <c r="K122" s="177">
        <v>3000000000</v>
      </c>
      <c r="L122" s="178"/>
      <c r="M122" s="585"/>
      <c r="N122" s="178"/>
    </row>
    <row r="123" spans="2:17" s="113" customFormat="1" x14ac:dyDescent="0.25">
      <c r="B123" s="59"/>
      <c r="C123" s="127"/>
      <c r="D123" s="128"/>
      <c r="E123" s="115"/>
      <c r="F123" s="174" t="s">
        <v>46</v>
      </c>
      <c r="G123" s="175" t="s">
        <v>183</v>
      </c>
      <c r="H123" s="602"/>
      <c r="I123" s="483" t="s">
        <v>395</v>
      </c>
      <c r="J123" s="635">
        <v>5700000000</v>
      </c>
      <c r="K123" s="177">
        <f>500000000+5200000000</f>
        <v>5700000000</v>
      </c>
      <c r="L123" s="178"/>
      <c r="M123" s="585"/>
      <c r="N123" s="178"/>
    </row>
    <row r="124" spans="2:17" s="29" customFormat="1" ht="26.25" customHeight="1" x14ac:dyDescent="0.25">
      <c r="B124" s="13"/>
      <c r="C124" s="39"/>
      <c r="D124" s="109"/>
      <c r="E124" s="88" t="s">
        <v>449</v>
      </c>
      <c r="F124" s="1579" t="s">
        <v>186</v>
      </c>
      <c r="G124" s="1580"/>
      <c r="H124" s="173" t="s">
        <v>187</v>
      </c>
      <c r="I124" s="224" t="s">
        <v>463</v>
      </c>
      <c r="J124" s="630">
        <f>SUM(J125:J126)</f>
        <v>11500000000</v>
      </c>
      <c r="K124" s="146">
        <f>SUM(K125:K126)</f>
        <v>11500000000</v>
      </c>
      <c r="L124" s="147"/>
      <c r="M124" s="590"/>
      <c r="N124" s="118"/>
    </row>
    <row r="125" spans="2:17" s="113" customFormat="1" ht="15.75" customHeight="1" x14ac:dyDescent="0.25">
      <c r="B125" s="59"/>
      <c r="C125" s="127"/>
      <c r="D125" s="128"/>
      <c r="E125" s="115"/>
      <c r="F125" s="225" t="s">
        <v>46</v>
      </c>
      <c r="G125" s="139" t="s">
        <v>423</v>
      </c>
      <c r="H125" s="602"/>
      <c r="I125" s="176" t="s">
        <v>111</v>
      </c>
      <c r="J125" s="639">
        <v>4000000000</v>
      </c>
      <c r="K125" s="226">
        <f>2000000000+2000000000</f>
        <v>4000000000</v>
      </c>
      <c r="L125" s="227"/>
      <c r="M125" s="585"/>
      <c r="N125" s="126"/>
    </row>
    <row r="126" spans="2:17" s="113" customFormat="1" ht="15" customHeight="1" x14ac:dyDescent="0.25">
      <c r="B126" s="59"/>
      <c r="C126" s="127"/>
      <c r="D126" s="128"/>
      <c r="E126" s="115"/>
      <c r="F126" s="130" t="s">
        <v>46</v>
      </c>
      <c r="G126" s="201" t="s">
        <v>140</v>
      </c>
      <c r="H126" s="602"/>
      <c r="I126" s="116" t="s">
        <v>141</v>
      </c>
      <c r="J126" s="635">
        <v>7500000000</v>
      </c>
      <c r="K126" s="177">
        <v>7500000000</v>
      </c>
      <c r="L126" s="178"/>
      <c r="M126" s="585"/>
      <c r="N126" s="178"/>
    </row>
    <row r="127" spans="2:17" ht="3.75" customHeight="1" x14ac:dyDescent="0.25">
      <c r="C127" s="471"/>
      <c r="D127" s="375"/>
      <c r="E127" s="96"/>
      <c r="F127" s="472"/>
      <c r="G127" s="473"/>
      <c r="H127" s="474"/>
      <c r="I127" s="475"/>
      <c r="J127" s="640"/>
      <c r="K127" s="476"/>
      <c r="L127" s="228"/>
      <c r="M127" s="594"/>
      <c r="N127" s="494"/>
      <c r="O127" s="229"/>
      <c r="Q127" s="230"/>
    </row>
    <row r="128" spans="2:17" s="15" customFormat="1" ht="22.5" customHeight="1" x14ac:dyDescent="0.25">
      <c r="B128" s="13"/>
      <c r="C128" s="1506" t="s">
        <v>452</v>
      </c>
      <c r="D128" s="1507"/>
      <c r="E128" s="1558" t="s">
        <v>189</v>
      </c>
      <c r="F128" s="1559"/>
      <c r="G128" s="1560"/>
      <c r="H128" s="231" t="s">
        <v>190</v>
      </c>
      <c r="I128" s="232"/>
      <c r="J128" s="641">
        <f>J129+J130+J131+J132+J136+J137+J138+J139+J140+J141+J142+J145+J146+J147+J148+J149+J150+J151</f>
        <v>61485840000</v>
      </c>
      <c r="K128" s="233">
        <f>K129+K130+K131+K132+K136+K137+K138+K139+K140+K141+K142+K145+K146+K147+K148+K149+K150+K151</f>
        <v>58285840000</v>
      </c>
      <c r="L128" s="26"/>
      <c r="M128" s="596"/>
      <c r="N128" s="495"/>
      <c r="O128" s="234"/>
      <c r="P128" s="21"/>
    </row>
    <row r="129" spans="2:17" s="29" customFormat="1" ht="18" customHeight="1" x14ac:dyDescent="0.25">
      <c r="B129" s="13"/>
      <c r="C129" s="49"/>
      <c r="D129" s="79"/>
      <c r="E129" s="77" t="s">
        <v>5</v>
      </c>
      <c r="F129" s="1575" t="s">
        <v>191</v>
      </c>
      <c r="G129" s="1576"/>
      <c r="H129" s="235" t="s">
        <v>192</v>
      </c>
      <c r="I129" s="236" t="s">
        <v>471</v>
      </c>
      <c r="J129" s="642">
        <v>2135760000</v>
      </c>
      <c r="K129" s="237">
        <v>2135760000</v>
      </c>
      <c r="L129" s="238"/>
      <c r="M129" s="595"/>
      <c r="N129" s="496"/>
      <c r="O129" s="148"/>
    </row>
    <row r="130" spans="2:17" s="29" customFormat="1" ht="21" customHeight="1" x14ac:dyDescent="0.25">
      <c r="B130" s="13"/>
      <c r="C130" s="49"/>
      <c r="D130" s="79"/>
      <c r="E130" s="77" t="s">
        <v>10</v>
      </c>
      <c r="F130" s="1569" t="s">
        <v>193</v>
      </c>
      <c r="G130" s="1570"/>
      <c r="H130" s="235" t="s">
        <v>194</v>
      </c>
      <c r="I130" s="236" t="s">
        <v>403</v>
      </c>
      <c r="J130" s="642">
        <v>2422200000</v>
      </c>
      <c r="K130" s="237">
        <v>2422200000</v>
      </c>
      <c r="L130" s="238"/>
      <c r="M130" s="591"/>
      <c r="N130" s="496"/>
      <c r="O130" s="63"/>
      <c r="P130" s="28"/>
    </row>
    <row r="131" spans="2:17" s="29" customFormat="1" ht="24.75" customHeight="1" x14ac:dyDescent="0.25">
      <c r="B131" s="13"/>
      <c r="C131" s="39"/>
      <c r="D131" s="140"/>
      <c r="E131" s="109" t="s">
        <v>13</v>
      </c>
      <c r="F131" s="1569" t="s">
        <v>195</v>
      </c>
      <c r="G131" s="1570"/>
      <c r="H131" s="239" t="s">
        <v>196</v>
      </c>
      <c r="I131" s="240" t="s">
        <v>472</v>
      </c>
      <c r="J131" s="643">
        <v>2632740000</v>
      </c>
      <c r="K131" s="241">
        <v>2632740000</v>
      </c>
      <c r="L131" s="238"/>
      <c r="M131" s="591"/>
      <c r="N131" s="496"/>
      <c r="O131" s="63"/>
      <c r="P131" s="242"/>
    </row>
    <row r="132" spans="2:17" s="29" customFormat="1" ht="29.25" customHeight="1" x14ac:dyDescent="0.25">
      <c r="B132" s="13"/>
      <c r="C132" s="39"/>
      <c r="D132" s="140"/>
      <c r="E132" s="109" t="s">
        <v>16</v>
      </c>
      <c r="F132" s="1569" t="s">
        <v>197</v>
      </c>
      <c r="G132" s="1570"/>
      <c r="H132" s="239" t="s">
        <v>198</v>
      </c>
      <c r="I132" s="240" t="s">
        <v>199</v>
      </c>
      <c r="J132" s="643">
        <f>SUM(J133:J135)</f>
        <v>3884440000</v>
      </c>
      <c r="K132" s="241">
        <f>SUM(K133:K135)</f>
        <v>3884440000</v>
      </c>
      <c r="L132" s="238"/>
      <c r="M132" s="589"/>
      <c r="N132" s="496"/>
      <c r="O132" s="179"/>
    </row>
    <row r="133" spans="2:17" s="306" customFormat="1" ht="16.5" customHeight="1" x14ac:dyDescent="0.25">
      <c r="B133" s="461"/>
      <c r="C133" s="462"/>
      <c r="D133" s="463"/>
      <c r="E133" s="341"/>
      <c r="F133" s="464" t="s">
        <v>46</v>
      </c>
      <c r="G133" s="460" t="s">
        <v>197</v>
      </c>
      <c r="H133" s="465"/>
      <c r="I133" s="466"/>
      <c r="J133" s="644">
        <v>2684440000</v>
      </c>
      <c r="K133" s="467">
        <v>2684440000</v>
      </c>
      <c r="L133" s="468"/>
      <c r="M133" s="585"/>
      <c r="N133" s="497"/>
      <c r="O133" s="113"/>
    </row>
    <row r="134" spans="2:17" s="306" customFormat="1" ht="29.25" customHeight="1" x14ac:dyDescent="0.25">
      <c r="B134" s="461"/>
      <c r="C134" s="462"/>
      <c r="D134" s="463"/>
      <c r="E134" s="341"/>
      <c r="F134" s="464" t="s">
        <v>46</v>
      </c>
      <c r="G134" s="460" t="s">
        <v>337</v>
      </c>
      <c r="H134" s="465"/>
      <c r="I134" s="466"/>
      <c r="J134" s="644">
        <v>200000000</v>
      </c>
      <c r="K134" s="467">
        <v>200000000</v>
      </c>
      <c r="L134" s="468"/>
      <c r="M134" s="585" t="s">
        <v>338</v>
      </c>
      <c r="N134" s="497">
        <v>200000000</v>
      </c>
      <c r="O134" s="113" t="s">
        <v>338</v>
      </c>
    </row>
    <row r="135" spans="2:17" s="306" customFormat="1" ht="25.5" x14ac:dyDescent="0.25">
      <c r="B135" s="461"/>
      <c r="C135" s="119"/>
      <c r="D135" s="128"/>
      <c r="E135" s="156"/>
      <c r="F135" s="264" t="s">
        <v>46</v>
      </c>
      <c r="G135" s="812" t="s">
        <v>200</v>
      </c>
      <c r="H135" s="813"/>
      <c r="I135" s="814"/>
      <c r="J135" s="815">
        <f>1000000000</f>
        <v>1000000000</v>
      </c>
      <c r="K135" s="816">
        <f>1000000000</f>
        <v>1000000000</v>
      </c>
      <c r="L135" s="817"/>
      <c r="M135" s="818" t="s">
        <v>420</v>
      </c>
      <c r="N135" s="819">
        <v>1000000000</v>
      </c>
      <c r="O135" s="820" t="s">
        <v>420</v>
      </c>
      <c r="Q135" s="820"/>
    </row>
    <row r="136" spans="2:17" s="29" customFormat="1" ht="31.5" customHeight="1" x14ac:dyDescent="0.25">
      <c r="B136" s="13"/>
      <c r="C136" s="39"/>
      <c r="D136" s="140"/>
      <c r="E136" s="109" t="s">
        <v>19</v>
      </c>
      <c r="F136" s="1569" t="s">
        <v>391</v>
      </c>
      <c r="G136" s="1570"/>
      <c r="H136" s="239" t="s">
        <v>201</v>
      </c>
      <c r="I136" s="240" t="s">
        <v>474</v>
      </c>
      <c r="J136" s="643">
        <v>2770240000</v>
      </c>
      <c r="K136" s="241">
        <v>2770240000</v>
      </c>
      <c r="L136" s="238"/>
      <c r="M136" s="526"/>
      <c r="N136" s="496"/>
    </row>
    <row r="137" spans="2:17" s="29" customFormat="1" ht="30.75" customHeight="1" x14ac:dyDescent="0.25">
      <c r="B137" s="13"/>
      <c r="C137" s="39"/>
      <c r="D137" s="140"/>
      <c r="E137" s="109" t="s">
        <v>27</v>
      </c>
      <c r="F137" s="1569" t="s">
        <v>202</v>
      </c>
      <c r="G137" s="1570"/>
      <c r="H137" s="239" t="s">
        <v>203</v>
      </c>
      <c r="I137" s="240" t="s">
        <v>475</v>
      </c>
      <c r="J137" s="643">
        <v>1778480000</v>
      </c>
      <c r="K137" s="241">
        <v>1778480000</v>
      </c>
      <c r="L137" s="238"/>
      <c r="M137" s="526"/>
      <c r="N137" s="496"/>
    </row>
    <row r="138" spans="2:17" s="29" customFormat="1" ht="18" customHeight="1" x14ac:dyDescent="0.25">
      <c r="B138" s="13"/>
      <c r="C138" s="39"/>
      <c r="D138" s="140"/>
      <c r="E138" s="109" t="s">
        <v>30</v>
      </c>
      <c r="F138" s="1569" t="s">
        <v>204</v>
      </c>
      <c r="G138" s="1570"/>
      <c r="H138" s="239" t="s">
        <v>205</v>
      </c>
      <c r="I138" s="240" t="s">
        <v>476</v>
      </c>
      <c r="J138" s="643">
        <v>2292620000</v>
      </c>
      <c r="K138" s="241">
        <v>2292620000</v>
      </c>
      <c r="L138" s="238"/>
      <c r="M138" s="526"/>
      <c r="N138" s="496"/>
    </row>
    <row r="139" spans="2:17" s="29" customFormat="1" ht="19.5" customHeight="1" x14ac:dyDescent="0.25">
      <c r="B139" s="13"/>
      <c r="C139" s="39"/>
      <c r="D139" s="140"/>
      <c r="E139" s="109" t="s">
        <v>8</v>
      </c>
      <c r="F139" s="1569" t="s">
        <v>206</v>
      </c>
      <c r="G139" s="1570"/>
      <c r="H139" s="239" t="s">
        <v>207</v>
      </c>
      <c r="I139" s="240" t="s">
        <v>477</v>
      </c>
      <c r="J139" s="643">
        <v>2560360000</v>
      </c>
      <c r="K139" s="241">
        <v>2560360000</v>
      </c>
      <c r="L139" s="238"/>
      <c r="M139" s="526"/>
      <c r="N139" s="496"/>
    </row>
    <row r="140" spans="2:17" s="29" customFormat="1" ht="31.5" customHeight="1" x14ac:dyDescent="0.25">
      <c r="B140" s="13"/>
      <c r="C140" s="39"/>
      <c r="D140" s="140"/>
      <c r="E140" s="109" t="s">
        <v>22</v>
      </c>
      <c r="F140" s="1569" t="s">
        <v>208</v>
      </c>
      <c r="G140" s="1570"/>
      <c r="H140" s="239" t="s">
        <v>209</v>
      </c>
      <c r="I140" s="240" t="s">
        <v>478</v>
      </c>
      <c r="J140" s="643">
        <v>3006520000</v>
      </c>
      <c r="K140" s="241">
        <v>3006520000</v>
      </c>
      <c r="L140" s="238"/>
      <c r="M140" s="526"/>
      <c r="N140" s="496"/>
    </row>
    <row r="141" spans="2:17" s="29" customFormat="1" ht="21" customHeight="1" x14ac:dyDescent="0.25">
      <c r="B141" s="13"/>
      <c r="C141" s="39"/>
      <c r="D141" s="140"/>
      <c r="E141" s="109" t="s">
        <v>210</v>
      </c>
      <c r="F141" s="1569" t="s">
        <v>211</v>
      </c>
      <c r="G141" s="1570"/>
      <c r="H141" s="239" t="s">
        <v>212</v>
      </c>
      <c r="I141" s="240" t="s">
        <v>473</v>
      </c>
      <c r="J141" s="643">
        <v>1980000000</v>
      </c>
      <c r="K141" s="241">
        <v>1980000000</v>
      </c>
      <c r="L141" s="238"/>
      <c r="M141" s="526"/>
      <c r="N141" s="496"/>
    </row>
    <row r="142" spans="2:17" s="29" customFormat="1" ht="27.75" customHeight="1" x14ac:dyDescent="0.25">
      <c r="B142" s="13"/>
      <c r="C142" s="39"/>
      <c r="D142" s="140"/>
      <c r="E142" s="109">
        <v>11</v>
      </c>
      <c r="F142" s="1569" t="s">
        <v>213</v>
      </c>
      <c r="G142" s="1570"/>
      <c r="H142" s="239" t="s">
        <v>214</v>
      </c>
      <c r="I142" s="240" t="s">
        <v>479</v>
      </c>
      <c r="J142" s="643">
        <f>SUM(J143:J144)</f>
        <v>2022480000</v>
      </c>
      <c r="K142" s="241">
        <f>SUM(K143:K144)</f>
        <v>2022480000</v>
      </c>
      <c r="L142" s="238"/>
      <c r="M142" s="526"/>
      <c r="N142" s="496"/>
    </row>
    <row r="143" spans="2:17" s="113" customFormat="1" ht="25.5" customHeight="1" x14ac:dyDescent="0.2">
      <c r="B143" s="262"/>
      <c r="C143" s="263"/>
      <c r="D143" s="156"/>
      <c r="E143" s="157"/>
      <c r="F143" s="264" t="s">
        <v>46</v>
      </c>
      <c r="G143" s="265" t="s">
        <v>213</v>
      </c>
      <c r="H143" s="132"/>
      <c r="I143" s="266"/>
      <c r="J143" s="635">
        <v>1272480000</v>
      </c>
      <c r="K143" s="177">
        <v>1272480000</v>
      </c>
      <c r="L143" s="178"/>
      <c r="M143" s="527"/>
      <c r="N143" s="178"/>
    </row>
    <row r="144" spans="2:17" s="113" customFormat="1" ht="14.25" customHeight="1" x14ac:dyDescent="0.2">
      <c r="B144" s="262"/>
      <c r="C144" s="263"/>
      <c r="D144" s="156"/>
      <c r="E144" s="157"/>
      <c r="F144" s="264" t="s">
        <v>46</v>
      </c>
      <c r="G144" s="265" t="s">
        <v>486</v>
      </c>
      <c r="H144" s="132"/>
      <c r="I144" s="266"/>
      <c r="J144" s="635">
        <v>750000000</v>
      </c>
      <c r="K144" s="177">
        <f>250000000+500000000</f>
        <v>750000000</v>
      </c>
      <c r="L144" s="178"/>
      <c r="M144" s="527"/>
      <c r="N144" s="178"/>
    </row>
    <row r="145" spans="2:17" s="29" customFormat="1" ht="20.25" customHeight="1" x14ac:dyDescent="0.25">
      <c r="B145" s="13"/>
      <c r="C145" s="39"/>
      <c r="D145" s="140"/>
      <c r="E145" s="109">
        <v>12</v>
      </c>
      <c r="F145" s="1569" t="s">
        <v>215</v>
      </c>
      <c r="G145" s="1570"/>
      <c r="H145" s="239" t="s">
        <v>216</v>
      </c>
      <c r="I145" s="240" t="s">
        <v>217</v>
      </c>
      <c r="J145" s="643">
        <f>500000000+300000000</f>
        <v>800000000</v>
      </c>
      <c r="K145" s="241">
        <f>500000000+300000000</f>
        <v>800000000</v>
      </c>
      <c r="L145" s="238"/>
      <c r="M145" s="526"/>
      <c r="N145" s="496"/>
    </row>
    <row r="146" spans="2:17" s="29" customFormat="1" ht="19.5" customHeight="1" x14ac:dyDescent="0.25">
      <c r="B146" s="13"/>
      <c r="C146" s="39"/>
      <c r="D146" s="140"/>
      <c r="E146" s="109">
        <v>13</v>
      </c>
      <c r="F146" s="1569" t="s">
        <v>218</v>
      </c>
      <c r="G146" s="1570"/>
      <c r="H146" s="239" t="s">
        <v>219</v>
      </c>
      <c r="I146" s="240" t="s">
        <v>393</v>
      </c>
      <c r="J146" s="643">
        <v>4000000000</v>
      </c>
      <c r="K146" s="241">
        <v>4000000000</v>
      </c>
      <c r="L146" s="238"/>
      <c r="M146" s="526"/>
      <c r="N146" s="496"/>
    </row>
    <row r="147" spans="2:17" s="29" customFormat="1" ht="24" customHeight="1" x14ac:dyDescent="0.25">
      <c r="B147" s="13"/>
      <c r="C147" s="598"/>
      <c r="D147" s="599"/>
      <c r="E147" s="684">
        <v>14</v>
      </c>
      <c r="F147" s="1571" t="s">
        <v>229</v>
      </c>
      <c r="G147" s="1572"/>
      <c r="H147" s="689" t="s">
        <v>230</v>
      </c>
      <c r="I147" s="690" t="s">
        <v>111</v>
      </c>
      <c r="J147" s="691">
        <f>2000000000-300000000</f>
        <v>1700000000</v>
      </c>
      <c r="K147" s="692">
        <v>0</v>
      </c>
      <c r="L147" s="238"/>
      <c r="M147" s="526"/>
      <c r="N147" s="496"/>
    </row>
    <row r="148" spans="2:17" s="29" customFormat="1" ht="16.5" customHeight="1" x14ac:dyDescent="0.25">
      <c r="B148" s="13"/>
      <c r="C148" s="39"/>
      <c r="D148" s="140"/>
      <c r="E148" s="55">
        <v>15</v>
      </c>
      <c r="F148" s="1569" t="s">
        <v>225</v>
      </c>
      <c r="G148" s="1570"/>
      <c r="H148" s="272" t="s">
        <v>226</v>
      </c>
      <c r="I148" s="273" t="s">
        <v>480</v>
      </c>
      <c r="J148" s="647">
        <f>11000000000</f>
        <v>11000000000</v>
      </c>
      <c r="K148" s="274">
        <f>11000000000</f>
        <v>11000000000</v>
      </c>
      <c r="L148" s="238"/>
      <c r="M148" s="526"/>
      <c r="N148" s="496"/>
    </row>
    <row r="149" spans="2:17" s="29" customFormat="1" ht="16.5" customHeight="1" x14ac:dyDescent="0.25">
      <c r="B149" s="13"/>
      <c r="C149" s="39"/>
      <c r="D149" s="140"/>
      <c r="E149" s="55">
        <v>16</v>
      </c>
      <c r="F149" s="1569" t="s">
        <v>227</v>
      </c>
      <c r="G149" s="1570"/>
      <c r="H149" s="272" t="s">
        <v>228</v>
      </c>
      <c r="I149" s="273" t="s">
        <v>480</v>
      </c>
      <c r="J149" s="647">
        <f>11000000000</f>
        <v>11000000000</v>
      </c>
      <c r="K149" s="274">
        <f>11000000000</f>
        <v>11000000000</v>
      </c>
      <c r="L149" s="238"/>
      <c r="M149" s="526"/>
      <c r="N149" s="496"/>
      <c r="P149" s="396">
        <v>1750000000</v>
      </c>
      <c r="Q149" s="29">
        <f>K149/P149</f>
        <v>6.2857142857142856</v>
      </c>
    </row>
    <row r="150" spans="2:17" s="29" customFormat="1" ht="39" customHeight="1" x14ac:dyDescent="0.25">
      <c r="B150" s="13"/>
      <c r="C150" s="39"/>
      <c r="D150" s="140"/>
      <c r="E150" s="55">
        <v>17</v>
      </c>
      <c r="F150" s="1569" t="s">
        <v>223</v>
      </c>
      <c r="G150" s="1570"/>
      <c r="H150" s="272" t="s">
        <v>415</v>
      </c>
      <c r="I150" s="713" t="s">
        <v>224</v>
      </c>
      <c r="J150" s="647">
        <v>4000000000</v>
      </c>
      <c r="K150" s="274">
        <v>4000000000</v>
      </c>
      <c r="L150" s="238"/>
      <c r="M150" s="540"/>
      <c r="N150" s="496"/>
    </row>
    <row r="151" spans="2:17" s="29" customFormat="1" ht="30" customHeight="1" x14ac:dyDescent="0.25">
      <c r="B151" s="13"/>
      <c r="C151" s="598"/>
      <c r="D151" s="599"/>
      <c r="E151" s="599">
        <v>18</v>
      </c>
      <c r="F151" s="1573" t="s">
        <v>220</v>
      </c>
      <c r="G151" s="1574"/>
      <c r="H151" s="693" t="s">
        <v>221</v>
      </c>
      <c r="I151" s="694" t="s">
        <v>222</v>
      </c>
      <c r="J151" s="695">
        <v>1500000000</v>
      </c>
      <c r="K151" s="696">
        <v>0</v>
      </c>
      <c r="L151" s="238"/>
      <c r="M151" s="526"/>
      <c r="N151" s="496"/>
    </row>
    <row r="152" spans="2:17" ht="4.5" customHeight="1" x14ac:dyDescent="0.25">
      <c r="C152" s="275"/>
      <c r="D152" s="276"/>
      <c r="E152" s="276"/>
      <c r="F152" s="1540"/>
      <c r="G152" s="1541"/>
      <c r="H152" s="279"/>
      <c r="I152" s="280"/>
      <c r="J152" s="648"/>
      <c r="K152" s="281"/>
      <c r="L152" s="101"/>
      <c r="M152" s="528"/>
      <c r="N152" s="491"/>
    </row>
    <row r="153" spans="2:17" s="15" customFormat="1" ht="32.25" customHeight="1" x14ac:dyDescent="0.25">
      <c r="B153" s="13"/>
      <c r="C153" s="1501" t="s">
        <v>453</v>
      </c>
      <c r="D153" s="1502"/>
      <c r="E153" s="1558" t="s">
        <v>231</v>
      </c>
      <c r="F153" s="1559"/>
      <c r="G153" s="1560"/>
      <c r="H153" s="231" t="s">
        <v>232</v>
      </c>
      <c r="I153" s="282"/>
      <c r="J153" s="649">
        <f>J155+J154+J156</f>
        <v>1850000000</v>
      </c>
      <c r="K153" s="283">
        <f>K155+K154+K156</f>
        <v>1850000000</v>
      </c>
      <c r="L153" s="104"/>
      <c r="M153" s="529"/>
      <c r="N153" s="14"/>
      <c r="O153" s="17"/>
    </row>
    <row r="154" spans="2:17" s="29" customFormat="1" ht="16.5" customHeight="1" x14ac:dyDescent="0.25">
      <c r="B154" s="13"/>
      <c r="C154" s="39"/>
      <c r="D154" s="140"/>
      <c r="E154" s="109" t="s">
        <v>5</v>
      </c>
      <c r="F154" s="1567" t="s">
        <v>233</v>
      </c>
      <c r="G154" s="1568"/>
      <c r="H154" s="284" t="s">
        <v>234</v>
      </c>
      <c r="I154" s="285">
        <v>1</v>
      </c>
      <c r="J154" s="650">
        <v>1200000000</v>
      </c>
      <c r="K154" s="286">
        <v>1200000000</v>
      </c>
      <c r="L154" s="7"/>
      <c r="M154" s="530"/>
      <c r="N154" s="484"/>
    </row>
    <row r="155" spans="2:17" s="82" customFormat="1" ht="17.25" customHeight="1" x14ac:dyDescent="0.25">
      <c r="B155" s="59"/>
      <c r="C155" s="39"/>
      <c r="D155" s="140"/>
      <c r="E155" s="109" t="s">
        <v>10</v>
      </c>
      <c r="F155" s="1565" t="s">
        <v>235</v>
      </c>
      <c r="G155" s="1566"/>
      <c r="H155" s="284" t="s">
        <v>234</v>
      </c>
      <c r="I155" s="285">
        <v>1</v>
      </c>
      <c r="J155" s="650">
        <v>350000000</v>
      </c>
      <c r="K155" s="286">
        <v>350000000</v>
      </c>
      <c r="L155" s="7"/>
      <c r="M155" s="530"/>
      <c r="N155" s="484"/>
      <c r="O155" s="136"/>
    </row>
    <row r="156" spans="2:17" s="29" customFormat="1" ht="27.75" customHeight="1" x14ac:dyDescent="0.25">
      <c r="B156" s="13"/>
      <c r="C156" s="39"/>
      <c r="D156" s="140"/>
      <c r="E156" s="109" t="s">
        <v>13</v>
      </c>
      <c r="F156" s="1550" t="s">
        <v>236</v>
      </c>
      <c r="G156" s="1551"/>
      <c r="H156" s="297" t="s">
        <v>237</v>
      </c>
      <c r="I156" s="477">
        <v>1</v>
      </c>
      <c r="J156" s="650">
        <v>300000000</v>
      </c>
      <c r="K156" s="286">
        <v>300000000</v>
      </c>
      <c r="L156" s="7"/>
      <c r="M156" s="530"/>
      <c r="N156" s="484"/>
    </row>
    <row r="157" spans="2:17" ht="3" customHeight="1" x14ac:dyDescent="0.25">
      <c r="C157" s="275"/>
      <c r="D157" s="276"/>
      <c r="E157" s="276"/>
      <c r="F157" s="1540"/>
      <c r="G157" s="1541"/>
      <c r="H157" s="279"/>
      <c r="I157" s="289"/>
      <c r="J157" s="651"/>
      <c r="K157" s="290"/>
      <c r="M157" s="531"/>
    </row>
    <row r="158" spans="2:17" s="29" customFormat="1" ht="33.75" customHeight="1" x14ac:dyDescent="0.25">
      <c r="B158" s="13"/>
      <c r="C158" s="1506" t="s">
        <v>454</v>
      </c>
      <c r="D158" s="1507"/>
      <c r="E158" s="1558" t="s">
        <v>238</v>
      </c>
      <c r="F158" s="1559"/>
      <c r="G158" s="1560"/>
      <c r="H158" s="231" t="s">
        <v>239</v>
      </c>
      <c r="I158" s="282"/>
      <c r="J158" s="652">
        <f>J159+J164+J160+J162</f>
        <v>7000000000</v>
      </c>
      <c r="K158" s="292">
        <f>K159+K164+K160+K162</f>
        <v>7000000000</v>
      </c>
      <c r="L158" s="32"/>
      <c r="M158" s="529"/>
      <c r="N158" s="486"/>
      <c r="Q158" s="145"/>
    </row>
    <row r="159" spans="2:17" s="29" customFormat="1" ht="27.75" customHeight="1" x14ac:dyDescent="0.25">
      <c r="B159" s="13"/>
      <c r="C159" s="39"/>
      <c r="D159" s="140"/>
      <c r="E159" s="77" t="s">
        <v>5</v>
      </c>
      <c r="F159" s="1567" t="s">
        <v>240</v>
      </c>
      <c r="G159" s="1568"/>
      <c r="H159" s="293" t="s">
        <v>241</v>
      </c>
      <c r="I159" s="294">
        <v>1</v>
      </c>
      <c r="J159" s="653">
        <v>500000000</v>
      </c>
      <c r="K159" s="295">
        <v>500000000</v>
      </c>
      <c r="L159" s="296"/>
      <c r="M159" s="532"/>
      <c r="N159" s="501"/>
      <c r="Q159" s="145"/>
    </row>
    <row r="160" spans="2:17" s="29" customFormat="1" ht="23.25" customHeight="1" x14ac:dyDescent="0.25">
      <c r="B160" s="13"/>
      <c r="C160" s="39"/>
      <c r="D160" s="140"/>
      <c r="E160" s="109" t="s">
        <v>10</v>
      </c>
      <c r="F160" s="1556" t="s">
        <v>242</v>
      </c>
      <c r="G160" s="1557"/>
      <c r="H160" s="297" t="s">
        <v>243</v>
      </c>
      <c r="I160" s="298" t="s">
        <v>244</v>
      </c>
      <c r="J160" s="654">
        <f>SUM(J161:J161)</f>
        <v>300000000</v>
      </c>
      <c r="K160" s="299">
        <f>SUM(K161:K161)</f>
        <v>300000000</v>
      </c>
      <c r="L160" s="296"/>
      <c r="M160" s="533"/>
      <c r="N160" s="501"/>
      <c r="Q160" s="145"/>
    </row>
    <row r="161" spans="2:17" s="306" customFormat="1" ht="27" customHeight="1" x14ac:dyDescent="0.25">
      <c r="B161" s="13"/>
      <c r="C161" s="300"/>
      <c r="D161" s="156"/>
      <c r="E161" s="156"/>
      <c r="F161" s="301" t="s">
        <v>46</v>
      </c>
      <c r="G161" s="302" t="s">
        <v>245</v>
      </c>
      <c r="H161" s="303"/>
      <c r="I161" s="1" t="s">
        <v>244</v>
      </c>
      <c r="J161" s="655">
        <v>300000000</v>
      </c>
      <c r="K161" s="304">
        <v>300000000</v>
      </c>
      <c r="L161" s="305"/>
      <c r="M161" s="534"/>
      <c r="N161" s="502"/>
      <c r="Q161" s="307"/>
    </row>
    <row r="162" spans="2:17" s="29" customFormat="1" ht="25.5" customHeight="1" x14ac:dyDescent="0.25">
      <c r="B162" s="13"/>
      <c r="C162" s="39"/>
      <c r="D162" s="140"/>
      <c r="E162" s="109" t="s">
        <v>13</v>
      </c>
      <c r="F162" s="1550" t="s">
        <v>246</v>
      </c>
      <c r="G162" s="1551"/>
      <c r="H162" s="297" t="s">
        <v>247</v>
      </c>
      <c r="I162" s="298" t="s">
        <v>465</v>
      </c>
      <c r="J162" s="654">
        <f>SUM(J163:J163)</f>
        <v>6000000000</v>
      </c>
      <c r="K162" s="299">
        <f>SUM(K163:K163)</f>
        <v>6000000000</v>
      </c>
      <c r="L162" s="296"/>
      <c r="M162" s="533"/>
      <c r="N162" s="501"/>
      <c r="Q162" s="145"/>
    </row>
    <row r="163" spans="2:17" s="306" customFormat="1" ht="24.75" customHeight="1" x14ac:dyDescent="0.25">
      <c r="B163" s="13"/>
      <c r="C163" s="300"/>
      <c r="D163" s="156"/>
      <c r="E163" s="156"/>
      <c r="F163" s="301" t="s">
        <v>46</v>
      </c>
      <c r="G163" s="302" t="s">
        <v>249</v>
      </c>
      <c r="H163" s="303"/>
      <c r="I163" s="1" t="s">
        <v>248</v>
      </c>
      <c r="J163" s="655">
        <v>6000000000</v>
      </c>
      <c r="K163" s="304">
        <v>6000000000</v>
      </c>
      <c r="L163" s="305"/>
      <c r="M163" s="534"/>
      <c r="N163" s="502"/>
      <c r="Q163" s="307"/>
    </row>
    <row r="164" spans="2:17" s="29" customFormat="1" ht="21.75" customHeight="1" x14ac:dyDescent="0.25">
      <c r="B164" s="13"/>
      <c r="C164" s="39"/>
      <c r="D164" s="140"/>
      <c r="E164" s="109" t="s">
        <v>16</v>
      </c>
      <c r="F164" s="1556" t="s">
        <v>250</v>
      </c>
      <c r="G164" s="1557"/>
      <c r="H164" s="297" t="s">
        <v>251</v>
      </c>
      <c r="I164" s="294">
        <v>1</v>
      </c>
      <c r="J164" s="654">
        <v>200000000</v>
      </c>
      <c r="K164" s="299">
        <v>200000000</v>
      </c>
      <c r="L164" s="296"/>
      <c r="M164" s="532"/>
      <c r="N164" s="501"/>
      <c r="Q164" s="145"/>
    </row>
    <row r="165" spans="2:17" ht="3" customHeight="1" x14ac:dyDescent="0.25">
      <c r="C165" s="275"/>
      <c r="D165" s="276"/>
      <c r="E165" s="276"/>
      <c r="F165" s="310"/>
      <c r="G165" s="287"/>
      <c r="H165" s="288"/>
      <c r="I165" s="311"/>
      <c r="J165" s="656"/>
      <c r="K165" s="312"/>
      <c r="L165" s="308"/>
      <c r="M165" s="535"/>
      <c r="N165" s="503"/>
      <c r="Q165" s="230"/>
    </row>
    <row r="166" spans="2:17" s="15" customFormat="1" ht="34.5" customHeight="1" x14ac:dyDescent="0.25">
      <c r="B166" s="13"/>
      <c r="C166" s="1508" t="s">
        <v>455</v>
      </c>
      <c r="D166" s="1509"/>
      <c r="E166" s="1558" t="s">
        <v>252</v>
      </c>
      <c r="F166" s="1559"/>
      <c r="G166" s="1560"/>
      <c r="H166" s="231" t="s">
        <v>253</v>
      </c>
      <c r="I166" s="282"/>
      <c r="J166" s="649">
        <f>J167+J171+J174+J177+J180+J184+J187+J190+J194+J197+J198+J201+J202+J203+J204+J205</f>
        <v>39876082971</v>
      </c>
      <c r="K166" s="283">
        <f>K167+K171+K174+K177+K180+K184+K187+K190+K194+K197+K198+K201+K202+K203+K204+K205</f>
        <v>39100000000</v>
      </c>
      <c r="L166" s="104"/>
      <c r="M166" s="529"/>
      <c r="N166" s="14"/>
      <c r="O166" s="16"/>
      <c r="P166" s="21">
        <v>42276082971</v>
      </c>
    </row>
    <row r="167" spans="2:17" s="62" customFormat="1" ht="20.25" customHeight="1" x14ac:dyDescent="0.25">
      <c r="B167" s="59"/>
      <c r="C167" s="313"/>
      <c r="D167" s="314"/>
      <c r="E167" s="315" t="s">
        <v>5</v>
      </c>
      <c r="F167" s="1561" t="s">
        <v>254</v>
      </c>
      <c r="G167" s="1562"/>
      <c r="H167" s="316" t="s">
        <v>255</v>
      </c>
      <c r="I167" s="317"/>
      <c r="J167" s="657">
        <f>SUM(J168:J170)</f>
        <v>10935000000</v>
      </c>
      <c r="K167" s="318">
        <f>SUM(K168:K170)</f>
        <v>10935000000</v>
      </c>
      <c r="L167" s="319"/>
      <c r="M167" s="541"/>
      <c r="N167" s="504"/>
      <c r="O167" s="63"/>
    </row>
    <row r="168" spans="2:17" s="113" customFormat="1" ht="17.25" customHeight="1" x14ac:dyDescent="0.25">
      <c r="B168" s="59"/>
      <c r="C168" s="320"/>
      <c r="D168" s="321"/>
      <c r="E168" s="322"/>
      <c r="F168" s="64" t="s">
        <v>46</v>
      </c>
      <c r="G168" s="679" t="s">
        <v>256</v>
      </c>
      <c r="H168" s="544" t="s">
        <v>257</v>
      </c>
      <c r="I168" s="324">
        <v>7.0000000000000007E-2</v>
      </c>
      <c r="J168" s="658">
        <f>10000000000+635000000</f>
        <v>10635000000</v>
      </c>
      <c r="K168" s="325">
        <f>10000000000+635000000</f>
        <v>10635000000</v>
      </c>
      <c r="L168" s="67"/>
      <c r="M168" s="542"/>
      <c r="N168" s="490"/>
      <c r="O168" s="151"/>
    </row>
    <row r="169" spans="2:17" s="113" customFormat="1" ht="24" customHeight="1" x14ac:dyDescent="0.2">
      <c r="B169" s="59"/>
      <c r="C169" s="320"/>
      <c r="D169" s="321"/>
      <c r="E169" s="322"/>
      <c r="F169" s="64" t="s">
        <v>46</v>
      </c>
      <c r="G169" s="679" t="s">
        <v>258</v>
      </c>
      <c r="H169" s="326" t="s">
        <v>259</v>
      </c>
      <c r="I169" s="327">
        <v>1</v>
      </c>
      <c r="J169" s="616">
        <v>300000000</v>
      </c>
      <c r="K169" s="66">
        <v>300000000</v>
      </c>
      <c r="L169" s="67"/>
      <c r="M169" s="514"/>
      <c r="N169" s="490"/>
      <c r="O169" s="151"/>
    </row>
    <row r="170" spans="2:17" s="113" customFormat="1" ht="15.75" hidden="1" customHeight="1" x14ac:dyDescent="0.2">
      <c r="B170" s="59"/>
      <c r="C170" s="320"/>
      <c r="D170" s="321"/>
      <c r="E170" s="322"/>
      <c r="F170" s="64" t="s">
        <v>46</v>
      </c>
      <c r="G170" s="323" t="s">
        <v>260</v>
      </c>
      <c r="H170" s="328" t="s">
        <v>470</v>
      </c>
      <c r="I170" s="327">
        <v>1</v>
      </c>
      <c r="J170" s="658"/>
      <c r="K170" s="325"/>
      <c r="L170" s="67"/>
      <c r="M170" s="514"/>
      <c r="N170" s="490"/>
      <c r="O170" s="151"/>
    </row>
    <row r="171" spans="2:17" s="62" customFormat="1" ht="28.5" customHeight="1" x14ac:dyDescent="0.25">
      <c r="B171" s="59"/>
      <c r="C171" s="78"/>
      <c r="D171" s="45"/>
      <c r="E171" s="329" t="s">
        <v>10</v>
      </c>
      <c r="F171" s="1563" t="s">
        <v>261</v>
      </c>
      <c r="G171" s="1564"/>
      <c r="H171" s="74" t="s">
        <v>262</v>
      </c>
      <c r="I171" s="330"/>
      <c r="J171" s="659">
        <f>SUM(J172:J173)</f>
        <v>5175000000</v>
      </c>
      <c r="K171" s="331">
        <f>SUM(K172:K173)</f>
        <v>5175000000</v>
      </c>
      <c r="L171" s="319"/>
      <c r="M171" s="543"/>
      <c r="N171" s="504"/>
      <c r="O171" s="63"/>
    </row>
    <row r="172" spans="2:17" s="113" customFormat="1" ht="15.75" customHeight="1" x14ac:dyDescent="0.2">
      <c r="B172" s="59"/>
      <c r="C172" s="320"/>
      <c r="D172" s="321"/>
      <c r="E172" s="322"/>
      <c r="F172" s="64" t="s">
        <v>46</v>
      </c>
      <c r="G172" s="679" t="s">
        <v>408</v>
      </c>
      <c r="H172" s="326" t="s">
        <v>263</v>
      </c>
      <c r="I172" s="327">
        <v>0.57999999999999996</v>
      </c>
      <c r="J172" s="616">
        <f>5000000000</f>
        <v>5000000000</v>
      </c>
      <c r="K172" s="66">
        <f>5000000000</f>
        <v>5000000000</v>
      </c>
      <c r="L172" s="67"/>
      <c r="M172" s="514"/>
      <c r="N172" s="490"/>
      <c r="O172" s="151"/>
    </row>
    <row r="173" spans="2:17" s="113" customFormat="1" ht="27.75" customHeight="1" x14ac:dyDescent="0.2">
      <c r="B173" s="59"/>
      <c r="C173" s="320"/>
      <c r="D173" s="321"/>
      <c r="E173" s="322"/>
      <c r="F173" s="64" t="s">
        <v>46</v>
      </c>
      <c r="G173" s="679" t="s">
        <v>407</v>
      </c>
      <c r="H173" s="326" t="s">
        <v>264</v>
      </c>
      <c r="I173" s="327">
        <v>1</v>
      </c>
      <c r="J173" s="616">
        <v>175000000</v>
      </c>
      <c r="K173" s="66">
        <v>175000000</v>
      </c>
      <c r="L173" s="67"/>
      <c r="M173" s="514"/>
      <c r="N173" s="490"/>
      <c r="O173" s="151"/>
    </row>
    <row r="174" spans="2:17" s="62" customFormat="1" ht="27" customHeight="1" x14ac:dyDescent="0.25">
      <c r="B174" s="59"/>
      <c r="C174" s="827"/>
      <c r="D174" s="828"/>
      <c r="E174" s="829" t="s">
        <v>13</v>
      </c>
      <c r="F174" s="1552" t="s">
        <v>265</v>
      </c>
      <c r="G174" s="1553"/>
      <c r="H174" s="830" t="s">
        <v>464</v>
      </c>
      <c r="I174" s="831"/>
      <c r="J174" s="832">
        <f>SUM(J175:J176)</f>
        <v>1000000000</v>
      </c>
      <c r="K174" s="833">
        <f>SUM(K175:K176)</f>
        <v>500000000</v>
      </c>
      <c r="L174" s="319"/>
      <c r="M174" s="543"/>
      <c r="N174" s="504"/>
      <c r="O174" s="63"/>
    </row>
    <row r="175" spans="2:17" s="62" customFormat="1" ht="25.5" customHeight="1" x14ac:dyDescent="0.25">
      <c r="B175" s="59"/>
      <c r="C175" s="78"/>
      <c r="D175" s="45"/>
      <c r="E175" s="333"/>
      <c r="F175" s="301" t="s">
        <v>46</v>
      </c>
      <c r="G175" s="679" t="s">
        <v>266</v>
      </c>
      <c r="H175" s="678" t="s">
        <v>267</v>
      </c>
      <c r="I175" s="68">
        <v>1</v>
      </c>
      <c r="J175" s="616">
        <v>500000000</v>
      </c>
      <c r="K175" s="66">
        <v>500000000</v>
      </c>
      <c r="L175" s="67"/>
      <c r="M175" s="514"/>
      <c r="N175" s="490"/>
      <c r="O175" s="63"/>
    </row>
    <row r="176" spans="2:17" s="229" customFormat="1" ht="21" customHeight="1" x14ac:dyDescent="0.25">
      <c r="B176" s="59"/>
      <c r="C176" s="334"/>
      <c r="D176" s="335"/>
      <c r="E176" s="336"/>
      <c r="F176" s="301" t="s">
        <v>46</v>
      </c>
      <c r="G176" s="679" t="s">
        <v>268</v>
      </c>
      <c r="H176" s="678" t="s">
        <v>269</v>
      </c>
      <c r="I176" s="68">
        <v>1</v>
      </c>
      <c r="J176" s="616">
        <v>500000000</v>
      </c>
      <c r="K176" s="66"/>
      <c r="L176" s="67"/>
      <c r="M176" s="514"/>
      <c r="N176" s="490"/>
      <c r="O176" s="309"/>
    </row>
    <row r="177" spans="2:15" s="29" customFormat="1" ht="26.25" customHeight="1" x14ac:dyDescent="0.25">
      <c r="B177" s="13"/>
      <c r="C177" s="834"/>
      <c r="D177" s="599"/>
      <c r="E177" s="599" t="s">
        <v>16</v>
      </c>
      <c r="F177" s="1554" t="s">
        <v>270</v>
      </c>
      <c r="G177" s="1555"/>
      <c r="H177" s="835" t="s">
        <v>271</v>
      </c>
      <c r="I177" s="836"/>
      <c r="J177" s="615">
        <f>J178+J179</f>
        <v>1045000000</v>
      </c>
      <c r="K177" s="600">
        <f>K178+K179</f>
        <v>1545000000</v>
      </c>
      <c r="L177" s="61"/>
      <c r="M177" s="536"/>
      <c r="N177" s="489"/>
      <c r="O177" s="63"/>
    </row>
    <row r="178" spans="2:15" s="29" customFormat="1" ht="27" customHeight="1" x14ac:dyDescent="0.25">
      <c r="B178" s="13"/>
      <c r="C178" s="87"/>
      <c r="D178" s="109"/>
      <c r="E178" s="109"/>
      <c r="F178" s="301" t="s">
        <v>46</v>
      </c>
      <c r="G178" s="679" t="s">
        <v>272</v>
      </c>
      <c r="H178" s="678" t="s">
        <v>273</v>
      </c>
      <c r="I178" s="436">
        <v>1</v>
      </c>
      <c r="J178" s="618">
        <v>1000000000</v>
      </c>
      <c r="K178" s="73">
        <f>1000000000+500000000</f>
        <v>1500000000</v>
      </c>
      <c r="L178" s="67"/>
      <c r="M178" s="537"/>
      <c r="N178" s="490"/>
      <c r="O178" s="63"/>
    </row>
    <row r="179" spans="2:15" s="29" customFormat="1" ht="27" customHeight="1" x14ac:dyDescent="0.25">
      <c r="B179" s="13"/>
      <c r="C179" s="87"/>
      <c r="D179" s="109"/>
      <c r="E179" s="109"/>
      <c r="F179" s="301" t="s">
        <v>46</v>
      </c>
      <c r="G179" s="679" t="s">
        <v>274</v>
      </c>
      <c r="H179" s="678" t="s">
        <v>274</v>
      </c>
      <c r="I179" s="68">
        <v>1</v>
      </c>
      <c r="J179" s="616">
        <v>45000000</v>
      </c>
      <c r="K179" s="66">
        <v>45000000</v>
      </c>
      <c r="L179" s="67"/>
      <c r="M179" s="514"/>
      <c r="N179" s="490"/>
      <c r="O179" s="63"/>
    </row>
    <row r="180" spans="2:15" s="62" customFormat="1" ht="31.5" customHeight="1" x14ac:dyDescent="0.25">
      <c r="B180" s="59"/>
      <c r="C180" s="78"/>
      <c r="D180" s="45"/>
      <c r="E180" s="329" t="s">
        <v>19</v>
      </c>
      <c r="F180" s="1548" t="s">
        <v>275</v>
      </c>
      <c r="G180" s="1549"/>
      <c r="H180" s="433" t="s">
        <v>276</v>
      </c>
      <c r="I180" s="435"/>
      <c r="J180" s="660">
        <f>SUM(J181:J183)</f>
        <v>8750000000</v>
      </c>
      <c r="K180" s="60">
        <f>SUM(K181:K183)</f>
        <v>8750000000</v>
      </c>
      <c r="L180" s="61"/>
      <c r="M180" s="536"/>
      <c r="N180" s="489"/>
      <c r="O180" s="63"/>
    </row>
    <row r="181" spans="2:15" s="62" customFormat="1" ht="15.75" customHeight="1" x14ac:dyDescent="0.25">
      <c r="B181" s="59"/>
      <c r="C181" s="78"/>
      <c r="D181" s="45"/>
      <c r="E181" s="333"/>
      <c r="F181" s="64" t="s">
        <v>46</v>
      </c>
      <c r="G181" s="679" t="s">
        <v>277</v>
      </c>
      <c r="H181" s="678" t="s">
        <v>278</v>
      </c>
      <c r="I181" s="435">
        <v>1</v>
      </c>
      <c r="J181" s="616">
        <v>8405000000</v>
      </c>
      <c r="K181" s="66">
        <v>8405000000</v>
      </c>
      <c r="L181" s="67"/>
      <c r="M181" s="536"/>
      <c r="N181" s="490"/>
      <c r="O181" s="63"/>
    </row>
    <row r="182" spans="2:15" s="62" customFormat="1" ht="27" customHeight="1" x14ac:dyDescent="0.2">
      <c r="B182" s="59"/>
      <c r="C182" s="78"/>
      <c r="D182" s="45"/>
      <c r="E182" s="333"/>
      <c r="F182" s="64" t="s">
        <v>46</v>
      </c>
      <c r="G182" s="679" t="s">
        <v>279</v>
      </c>
      <c r="H182" s="337" t="s">
        <v>280</v>
      </c>
      <c r="I182" s="435">
        <v>1</v>
      </c>
      <c r="J182" s="616">
        <v>245000000</v>
      </c>
      <c r="K182" s="66">
        <v>245000000</v>
      </c>
      <c r="L182" s="67"/>
      <c r="M182" s="536"/>
      <c r="N182" s="490"/>
      <c r="O182" s="63"/>
    </row>
    <row r="183" spans="2:15" s="62" customFormat="1" ht="15.75" customHeight="1" x14ac:dyDescent="0.25">
      <c r="B183" s="59"/>
      <c r="C183" s="78"/>
      <c r="D183" s="45"/>
      <c r="E183" s="333"/>
      <c r="F183" s="64" t="s">
        <v>46</v>
      </c>
      <c r="G183" s="679" t="s">
        <v>281</v>
      </c>
      <c r="H183" s="678" t="s">
        <v>282</v>
      </c>
      <c r="I183" s="68">
        <v>1</v>
      </c>
      <c r="J183" s="616">
        <v>100000000</v>
      </c>
      <c r="K183" s="66">
        <v>100000000</v>
      </c>
      <c r="L183" s="67"/>
      <c r="M183" s="514"/>
      <c r="N183" s="490"/>
      <c r="O183" s="63"/>
    </row>
    <row r="184" spans="2:15" s="29" customFormat="1" ht="26.25" customHeight="1" x14ac:dyDescent="0.25">
      <c r="B184" s="13"/>
      <c r="C184" s="87"/>
      <c r="D184" s="109"/>
      <c r="E184" s="109" t="s">
        <v>27</v>
      </c>
      <c r="F184" s="1548" t="s">
        <v>283</v>
      </c>
      <c r="G184" s="1549"/>
      <c r="H184" s="433" t="s">
        <v>284</v>
      </c>
      <c r="I184" s="435"/>
      <c r="J184" s="660">
        <f>J185+J186</f>
        <v>1045000000</v>
      </c>
      <c r="K184" s="60">
        <f>K185+K186</f>
        <v>1045000000</v>
      </c>
      <c r="L184" s="61"/>
      <c r="M184" s="536"/>
      <c r="N184" s="489"/>
      <c r="O184" s="63"/>
    </row>
    <row r="185" spans="2:15" s="29" customFormat="1" x14ac:dyDescent="0.25">
      <c r="B185" s="13"/>
      <c r="C185" s="87"/>
      <c r="D185" s="109"/>
      <c r="E185" s="109"/>
      <c r="F185" s="64" t="s">
        <v>46</v>
      </c>
      <c r="G185" s="679" t="s">
        <v>285</v>
      </c>
      <c r="H185" s="678" t="s">
        <v>286</v>
      </c>
      <c r="I185" s="436">
        <v>1</v>
      </c>
      <c r="J185" s="618">
        <v>1000000000</v>
      </c>
      <c r="K185" s="73">
        <v>1000000000</v>
      </c>
      <c r="L185" s="67"/>
      <c r="M185" s="537"/>
      <c r="N185" s="490"/>
      <c r="O185" s="63"/>
    </row>
    <row r="186" spans="2:15" s="29" customFormat="1" ht="29.25" customHeight="1" x14ac:dyDescent="0.25">
      <c r="B186" s="13"/>
      <c r="C186" s="87"/>
      <c r="D186" s="109"/>
      <c r="E186" s="109"/>
      <c r="F186" s="301" t="s">
        <v>46</v>
      </c>
      <c r="G186" s="679" t="s">
        <v>287</v>
      </c>
      <c r="H186" s="678" t="s">
        <v>288</v>
      </c>
      <c r="I186" s="68">
        <v>1</v>
      </c>
      <c r="J186" s="618">
        <v>45000000</v>
      </c>
      <c r="K186" s="73">
        <v>45000000</v>
      </c>
      <c r="L186" s="67"/>
      <c r="M186" s="514"/>
      <c r="N186" s="490"/>
      <c r="O186" s="63"/>
    </row>
    <row r="187" spans="2:15" s="29" customFormat="1" ht="23.25" customHeight="1" x14ac:dyDescent="0.25">
      <c r="B187" s="13"/>
      <c r="C187" s="87"/>
      <c r="D187" s="109"/>
      <c r="E187" s="109" t="s">
        <v>30</v>
      </c>
      <c r="F187" s="1548" t="s">
        <v>289</v>
      </c>
      <c r="G187" s="1549"/>
      <c r="H187" s="433" t="s">
        <v>290</v>
      </c>
      <c r="I187" s="435">
        <v>1</v>
      </c>
      <c r="J187" s="660">
        <f>J188+J189</f>
        <v>3500000000</v>
      </c>
      <c r="K187" s="60">
        <f>K188+K189</f>
        <v>3500000000</v>
      </c>
      <c r="L187" s="61"/>
      <c r="M187" s="536"/>
      <c r="N187" s="489"/>
      <c r="O187" s="63" t="s">
        <v>291</v>
      </c>
    </row>
    <row r="188" spans="2:15" s="29" customFormat="1" ht="22.5" customHeight="1" x14ac:dyDescent="0.25">
      <c r="B188" s="13"/>
      <c r="C188" s="54"/>
      <c r="D188" s="55"/>
      <c r="E188" s="55"/>
      <c r="F188" s="301" t="s">
        <v>46</v>
      </c>
      <c r="G188" s="679" t="s">
        <v>292</v>
      </c>
      <c r="H188" s="678" t="s">
        <v>293</v>
      </c>
      <c r="I188" s="437">
        <v>1</v>
      </c>
      <c r="J188" s="618">
        <f>3500000000-125000000</f>
        <v>3375000000</v>
      </c>
      <c r="K188" s="73">
        <f>3500000000-125000000</f>
        <v>3375000000</v>
      </c>
      <c r="L188" s="67"/>
      <c r="M188" s="538"/>
      <c r="N188" s="490"/>
      <c r="O188" s="63" t="s">
        <v>427</v>
      </c>
    </row>
    <row r="189" spans="2:15" s="29" customFormat="1" ht="24" customHeight="1" x14ac:dyDescent="0.25">
      <c r="B189" s="13"/>
      <c r="C189" s="87"/>
      <c r="D189" s="109"/>
      <c r="E189" s="109"/>
      <c r="F189" s="301" t="s">
        <v>46</v>
      </c>
      <c r="G189" s="679" t="s">
        <v>294</v>
      </c>
      <c r="H189" s="678" t="s">
        <v>295</v>
      </c>
      <c r="I189" s="68">
        <v>1</v>
      </c>
      <c r="J189" s="616">
        <v>125000000</v>
      </c>
      <c r="K189" s="66">
        <v>125000000</v>
      </c>
      <c r="L189" s="67"/>
      <c r="M189" s="514"/>
      <c r="N189" s="490"/>
      <c r="O189" s="63"/>
    </row>
    <row r="190" spans="2:15" s="29" customFormat="1" ht="23.25" customHeight="1" x14ac:dyDescent="0.25">
      <c r="B190" s="13"/>
      <c r="C190" s="54"/>
      <c r="D190" s="55"/>
      <c r="E190" s="55" t="s">
        <v>8</v>
      </c>
      <c r="F190" s="1548" t="s">
        <v>296</v>
      </c>
      <c r="G190" s="1549"/>
      <c r="H190" s="69" t="s">
        <v>297</v>
      </c>
      <c r="I190" s="70"/>
      <c r="J190" s="617">
        <f>SUM(J191:J193)</f>
        <v>1600000000</v>
      </c>
      <c r="K190" s="71">
        <f>SUM(K191:K193)</f>
        <v>1600000000</v>
      </c>
      <c r="L190" s="61"/>
      <c r="M190" s="562"/>
      <c r="N190" s="489"/>
      <c r="O190" s="63"/>
    </row>
    <row r="191" spans="2:15" s="29" customFormat="1" ht="27.75" customHeight="1" x14ac:dyDescent="0.25">
      <c r="B191" s="13"/>
      <c r="C191" s="54"/>
      <c r="D191" s="55"/>
      <c r="E191" s="55"/>
      <c r="F191" s="64" t="s">
        <v>46</v>
      </c>
      <c r="G191" s="679" t="s">
        <v>499</v>
      </c>
      <c r="H191" s="678" t="s">
        <v>500</v>
      </c>
      <c r="I191" s="72">
        <v>1</v>
      </c>
      <c r="J191" s="618">
        <v>1490000000</v>
      </c>
      <c r="K191" s="73">
        <v>1490000000</v>
      </c>
      <c r="L191" s="67"/>
      <c r="M191" s="563"/>
      <c r="N191" s="490"/>
      <c r="O191" s="63"/>
    </row>
    <row r="192" spans="2:15" s="29" customFormat="1" ht="24.75" customHeight="1" x14ac:dyDescent="0.25">
      <c r="B192" s="13"/>
      <c r="C192" s="54"/>
      <c r="D192" s="55"/>
      <c r="E192" s="55"/>
      <c r="F192" s="64" t="s">
        <v>46</v>
      </c>
      <c r="G192" s="679" t="s">
        <v>298</v>
      </c>
      <c r="H192" s="678" t="s">
        <v>299</v>
      </c>
      <c r="I192" s="72">
        <v>1</v>
      </c>
      <c r="J192" s="618">
        <v>50000000</v>
      </c>
      <c r="K192" s="73">
        <v>50000000</v>
      </c>
      <c r="L192" s="67"/>
      <c r="M192" s="563"/>
      <c r="N192" s="490"/>
      <c r="O192" s="63"/>
    </row>
    <row r="193" spans="2:17" s="29" customFormat="1" ht="16.5" customHeight="1" x14ac:dyDescent="0.25">
      <c r="B193" s="13"/>
      <c r="C193" s="54"/>
      <c r="D193" s="55"/>
      <c r="E193" s="55"/>
      <c r="F193" s="64" t="s">
        <v>46</v>
      </c>
      <c r="G193" s="679" t="s">
        <v>300</v>
      </c>
      <c r="H193" s="678" t="s">
        <v>301</v>
      </c>
      <c r="I193" s="72">
        <v>1</v>
      </c>
      <c r="J193" s="618">
        <v>60000000</v>
      </c>
      <c r="K193" s="73">
        <v>60000000</v>
      </c>
      <c r="L193" s="67"/>
      <c r="M193" s="563"/>
      <c r="N193" s="490"/>
      <c r="O193" s="63"/>
    </row>
    <row r="194" spans="2:17" s="349" customFormat="1" ht="23.25" customHeight="1" x14ac:dyDescent="0.25">
      <c r="B194" s="339"/>
      <c r="C194" s="347"/>
      <c r="D194" s="55"/>
      <c r="E194" s="55" t="s">
        <v>22</v>
      </c>
      <c r="F194" s="1550" t="s">
        <v>302</v>
      </c>
      <c r="G194" s="1551"/>
      <c r="H194" s="675" t="s">
        <v>303</v>
      </c>
      <c r="I194" s="439"/>
      <c r="J194" s="617">
        <f>SUM(J195:J196)</f>
        <v>3100000000</v>
      </c>
      <c r="K194" s="71">
        <f>SUM(K195:K196)</f>
        <v>3100000000</v>
      </c>
      <c r="L194" s="61"/>
      <c r="M194" s="564"/>
      <c r="N194" s="489"/>
      <c r="O194" s="350"/>
    </row>
    <row r="195" spans="2:17" s="343" customFormat="1" ht="15" customHeight="1" x14ac:dyDescent="0.25">
      <c r="B195" s="339"/>
      <c r="C195" s="340"/>
      <c r="D195" s="341"/>
      <c r="E195" s="341"/>
      <c r="F195" s="351" t="s">
        <v>46</v>
      </c>
      <c r="G195" s="131" t="s">
        <v>304</v>
      </c>
      <c r="H195" s="342" t="s">
        <v>305</v>
      </c>
      <c r="I195" s="438">
        <v>1</v>
      </c>
      <c r="J195" s="618">
        <v>3000000000</v>
      </c>
      <c r="K195" s="73">
        <v>3000000000</v>
      </c>
      <c r="L195" s="67"/>
      <c r="M195" s="565"/>
      <c r="N195" s="490"/>
      <c r="O195" s="344"/>
    </row>
    <row r="196" spans="2:17" s="343" customFormat="1" ht="12.75" customHeight="1" x14ac:dyDescent="0.25">
      <c r="B196" s="339"/>
      <c r="C196" s="340"/>
      <c r="D196" s="341"/>
      <c r="E196" s="341"/>
      <c r="F196" s="351" t="s">
        <v>46</v>
      </c>
      <c r="G196" s="131" t="s">
        <v>306</v>
      </c>
      <c r="H196" s="342" t="s">
        <v>307</v>
      </c>
      <c r="I196" s="438">
        <v>1</v>
      </c>
      <c r="J196" s="618">
        <v>100000000</v>
      </c>
      <c r="K196" s="73">
        <v>100000000</v>
      </c>
      <c r="L196" s="67"/>
      <c r="M196" s="565"/>
      <c r="N196" s="490"/>
      <c r="O196" s="344"/>
    </row>
    <row r="197" spans="2:17" s="343" customFormat="1" ht="23.25" customHeight="1" x14ac:dyDescent="0.25">
      <c r="B197" s="339"/>
      <c r="C197" s="683"/>
      <c r="D197" s="684"/>
      <c r="E197" s="684" t="s">
        <v>210</v>
      </c>
      <c r="F197" s="1552" t="s">
        <v>308</v>
      </c>
      <c r="G197" s="1553"/>
      <c r="H197" s="685" t="s">
        <v>309</v>
      </c>
      <c r="I197" s="686">
        <v>1</v>
      </c>
      <c r="J197" s="687">
        <f>2500000000-323917029-50000000</f>
        <v>2126082971</v>
      </c>
      <c r="K197" s="688">
        <v>600000000</v>
      </c>
      <c r="L197" s="61"/>
      <c r="M197" s="565"/>
      <c r="N197" s="489"/>
      <c r="O197" s="344"/>
    </row>
    <row r="198" spans="2:17" s="345" customFormat="1" ht="23.25" customHeight="1" x14ac:dyDescent="0.25">
      <c r="B198" s="339"/>
      <c r="C198" s="54"/>
      <c r="D198" s="55"/>
      <c r="E198" s="55">
        <v>11</v>
      </c>
      <c r="F198" s="1550" t="s">
        <v>310</v>
      </c>
      <c r="G198" s="1551"/>
      <c r="H198" s="342" t="s">
        <v>416</v>
      </c>
      <c r="I198" s="440"/>
      <c r="J198" s="617">
        <f>J199+J200</f>
        <v>800000000</v>
      </c>
      <c r="K198" s="71">
        <f>K199+K200</f>
        <v>800000000</v>
      </c>
      <c r="L198" s="61"/>
      <c r="M198" s="566"/>
      <c r="N198" s="489"/>
      <c r="O198" s="346"/>
    </row>
    <row r="199" spans="2:17" s="343" customFormat="1" ht="27" customHeight="1" x14ac:dyDescent="0.25">
      <c r="B199" s="339"/>
      <c r="C199" s="340"/>
      <c r="D199" s="341"/>
      <c r="E199" s="341"/>
      <c r="F199" s="720" t="s">
        <v>46</v>
      </c>
      <c r="G199" s="131" t="s">
        <v>311</v>
      </c>
      <c r="H199" s="342" t="s">
        <v>312</v>
      </c>
      <c r="I199" s="438"/>
      <c r="J199" s="618">
        <v>500000000</v>
      </c>
      <c r="K199" s="73">
        <v>500000000</v>
      </c>
      <c r="L199" s="67"/>
      <c r="M199" s="565"/>
      <c r="N199" s="490"/>
      <c r="O199" s="344"/>
    </row>
    <row r="200" spans="2:17" s="343" customFormat="1" ht="25.5" customHeight="1" x14ac:dyDescent="0.25">
      <c r="B200" s="339"/>
      <c r="C200" s="340"/>
      <c r="D200" s="341"/>
      <c r="E200" s="341"/>
      <c r="F200" s="720" t="s">
        <v>46</v>
      </c>
      <c r="G200" s="131" t="s">
        <v>313</v>
      </c>
      <c r="H200" s="342" t="s">
        <v>314</v>
      </c>
      <c r="I200" s="438"/>
      <c r="J200" s="618">
        <v>300000000</v>
      </c>
      <c r="K200" s="73">
        <v>300000000</v>
      </c>
      <c r="L200" s="67"/>
      <c r="M200" s="565"/>
      <c r="N200" s="490"/>
      <c r="O200" s="344"/>
    </row>
    <row r="201" spans="2:17" s="29" customFormat="1" ht="27" customHeight="1" x14ac:dyDescent="0.25">
      <c r="B201" s="13"/>
      <c r="C201" s="87"/>
      <c r="D201" s="109"/>
      <c r="E201" s="109">
        <v>12</v>
      </c>
      <c r="F201" s="1542" t="s">
        <v>315</v>
      </c>
      <c r="G201" s="1543"/>
      <c r="H201" s="434" t="s">
        <v>316</v>
      </c>
      <c r="I201" s="353">
        <v>1</v>
      </c>
      <c r="J201" s="660">
        <v>200000000</v>
      </c>
      <c r="K201" s="60">
        <v>200000000</v>
      </c>
      <c r="L201" s="61"/>
      <c r="M201" s="567"/>
      <c r="N201" s="489"/>
      <c r="O201" s="28"/>
    </row>
    <row r="202" spans="2:17" s="29" customFormat="1" ht="26.25" customHeight="1" x14ac:dyDescent="0.25">
      <c r="B202" s="13"/>
      <c r="C202" s="714"/>
      <c r="D202" s="599"/>
      <c r="E202" s="599">
        <v>13</v>
      </c>
      <c r="F202" s="1544" t="s">
        <v>317</v>
      </c>
      <c r="G202" s="1545"/>
      <c r="H202" s="715" t="s">
        <v>318</v>
      </c>
      <c r="I202" s="716" t="s">
        <v>319</v>
      </c>
      <c r="J202" s="717">
        <v>100000000</v>
      </c>
      <c r="K202" s="718">
        <v>300000000</v>
      </c>
      <c r="L202" s="7"/>
      <c r="M202" s="568"/>
      <c r="N202" s="484"/>
      <c r="O202" s="28"/>
    </row>
    <row r="203" spans="2:17" s="29" customFormat="1" ht="20.25" customHeight="1" x14ac:dyDescent="0.25">
      <c r="B203" s="13"/>
      <c r="C203" s="714"/>
      <c r="D203" s="599"/>
      <c r="E203" s="599">
        <v>14</v>
      </c>
      <c r="F203" s="1546" t="s">
        <v>320</v>
      </c>
      <c r="G203" s="1547"/>
      <c r="H203" s="715" t="s">
        <v>321</v>
      </c>
      <c r="I203" s="716" t="s">
        <v>319</v>
      </c>
      <c r="J203" s="717">
        <v>200000000</v>
      </c>
      <c r="K203" s="718">
        <v>600000000</v>
      </c>
      <c r="L203" s="7"/>
      <c r="M203" s="568"/>
      <c r="N203" s="484"/>
      <c r="O203" s="28"/>
    </row>
    <row r="204" spans="2:17" s="62" customFormat="1" ht="38.25" customHeight="1" x14ac:dyDescent="0.25">
      <c r="B204" s="59"/>
      <c r="C204" s="714"/>
      <c r="D204" s="599"/>
      <c r="E204" s="599">
        <v>15</v>
      </c>
      <c r="F204" s="1544" t="s">
        <v>322</v>
      </c>
      <c r="G204" s="1545"/>
      <c r="H204" s="715" t="s">
        <v>323</v>
      </c>
      <c r="I204" s="719" t="s">
        <v>86</v>
      </c>
      <c r="J204" s="717">
        <v>100000000</v>
      </c>
      <c r="K204" s="718">
        <v>250000000</v>
      </c>
      <c r="L204" s="7"/>
      <c r="M204" s="569"/>
      <c r="N204" s="484"/>
      <c r="O204" s="148"/>
    </row>
    <row r="205" spans="2:17" s="29" customFormat="1" ht="26.25" customHeight="1" x14ac:dyDescent="0.25">
      <c r="B205" s="13"/>
      <c r="C205" s="87"/>
      <c r="D205" s="109"/>
      <c r="E205" s="109">
        <v>16</v>
      </c>
      <c r="F205" s="1542" t="s">
        <v>324</v>
      </c>
      <c r="G205" s="1543"/>
      <c r="H205" s="352" t="s">
        <v>325</v>
      </c>
      <c r="I205" s="353">
        <v>1</v>
      </c>
      <c r="J205" s="660">
        <v>200000000</v>
      </c>
      <c r="K205" s="60">
        <v>200000000</v>
      </c>
      <c r="L205" s="61"/>
      <c r="M205" s="567"/>
      <c r="N205" s="489"/>
      <c r="O205" s="28"/>
    </row>
    <row r="206" spans="2:17" ht="3" customHeight="1" x14ac:dyDescent="0.25">
      <c r="C206" s="95"/>
      <c r="D206" s="96"/>
      <c r="E206" s="96"/>
      <c r="F206" s="1540"/>
      <c r="G206" s="1541"/>
      <c r="H206" s="355"/>
      <c r="I206" s="356"/>
      <c r="J206" s="661"/>
      <c r="K206" s="357"/>
      <c r="L206" s="358"/>
      <c r="M206" s="570"/>
      <c r="N206" s="505"/>
    </row>
    <row r="207" spans="2:17" s="15" customFormat="1" ht="25.5" customHeight="1" x14ac:dyDescent="0.25">
      <c r="B207" s="13"/>
      <c r="C207" s="1506" t="s">
        <v>456</v>
      </c>
      <c r="D207" s="1507"/>
      <c r="E207" s="1535" t="s">
        <v>326</v>
      </c>
      <c r="F207" s="1536"/>
      <c r="G207" s="1537"/>
      <c r="H207" s="359" t="s">
        <v>327</v>
      </c>
      <c r="I207" s="360"/>
      <c r="J207" s="641">
        <f>SUM(J208:J209)</f>
        <v>750000000</v>
      </c>
      <c r="K207" s="233">
        <f>SUM(K208:K209)</f>
        <v>750000000</v>
      </c>
      <c r="L207" s="26"/>
      <c r="M207" s="571"/>
      <c r="N207" s="495"/>
    </row>
    <row r="208" spans="2:17" s="29" customFormat="1" ht="18" customHeight="1" x14ac:dyDescent="0.25">
      <c r="B208" s="13"/>
      <c r="C208" s="39"/>
      <c r="D208" s="140"/>
      <c r="E208" s="109" t="s">
        <v>5</v>
      </c>
      <c r="F208" s="1533" t="s">
        <v>329</v>
      </c>
      <c r="G208" s="1534"/>
      <c r="H208" s="141" t="s">
        <v>330</v>
      </c>
      <c r="I208" s="142" t="s">
        <v>328</v>
      </c>
      <c r="J208" s="629">
        <v>400000000</v>
      </c>
      <c r="K208" s="143">
        <v>400000000</v>
      </c>
      <c r="L208" s="144"/>
      <c r="M208" s="561"/>
      <c r="N208" s="492"/>
      <c r="Q208" s="145"/>
    </row>
    <row r="209" spans="2:17" s="29" customFormat="1" ht="18" customHeight="1" x14ac:dyDescent="0.25">
      <c r="B209" s="13"/>
      <c r="C209" s="39"/>
      <c r="D209" s="140"/>
      <c r="E209" s="109" t="s">
        <v>10</v>
      </c>
      <c r="F209" s="1533" t="s">
        <v>331</v>
      </c>
      <c r="G209" s="1534"/>
      <c r="H209" s="141" t="s">
        <v>332</v>
      </c>
      <c r="I209" s="142" t="s">
        <v>319</v>
      </c>
      <c r="J209" s="629">
        <v>350000000</v>
      </c>
      <c r="K209" s="143">
        <v>350000000</v>
      </c>
      <c r="L209" s="144"/>
      <c r="M209" s="561"/>
      <c r="N209" s="492"/>
      <c r="Q209" s="145"/>
    </row>
    <row r="210" spans="2:17" ht="5.25" customHeight="1" x14ac:dyDescent="0.25">
      <c r="C210" s="363"/>
      <c r="D210" s="364"/>
      <c r="E210" s="276"/>
      <c r="F210" s="365"/>
      <c r="G210" s="366"/>
      <c r="H210" s="367"/>
      <c r="I210" s="368"/>
      <c r="J210" s="651"/>
      <c r="K210" s="290"/>
      <c r="M210" s="572"/>
      <c r="Q210" s="230"/>
    </row>
    <row r="211" spans="2:17" s="15" customFormat="1" ht="27.75" customHeight="1" x14ac:dyDescent="0.25">
      <c r="B211" s="13"/>
      <c r="C211" s="1506" t="s">
        <v>457</v>
      </c>
      <c r="D211" s="1507"/>
      <c r="E211" s="1535" t="s">
        <v>333</v>
      </c>
      <c r="F211" s="1536"/>
      <c r="G211" s="1537"/>
      <c r="H211" s="359" t="s">
        <v>334</v>
      </c>
      <c r="I211" s="360"/>
      <c r="J211" s="641">
        <f>J212+J213</f>
        <v>2200000000</v>
      </c>
      <c r="K211" s="233">
        <f>K212+K213</f>
        <v>2976082971</v>
      </c>
      <c r="L211" s="26"/>
      <c r="M211" s="571"/>
      <c r="N211" s="495"/>
    </row>
    <row r="212" spans="2:17" s="29" customFormat="1" ht="15.75" customHeight="1" x14ac:dyDescent="0.25">
      <c r="B212" s="13"/>
      <c r="C212" s="598"/>
      <c r="D212" s="599"/>
      <c r="E212" s="599" t="s">
        <v>5</v>
      </c>
      <c r="F212" s="1664" t="s">
        <v>335</v>
      </c>
      <c r="G212" s="1665"/>
      <c r="H212" s="823" t="s">
        <v>336</v>
      </c>
      <c r="I212" s="824" t="s">
        <v>109</v>
      </c>
      <c r="J212" s="825">
        <f>2000000000</f>
        <v>2000000000</v>
      </c>
      <c r="K212" s="826">
        <f>2000000000+776082971</f>
        <v>2776082971</v>
      </c>
      <c r="L212" s="144"/>
      <c r="M212" s="561"/>
      <c r="N212" s="492"/>
    </row>
    <row r="213" spans="2:17" s="362" customFormat="1" ht="15.75" customHeight="1" x14ac:dyDescent="0.25">
      <c r="B213" s="13"/>
      <c r="C213" s="39"/>
      <c r="D213" s="140"/>
      <c r="E213" s="109" t="s">
        <v>10</v>
      </c>
      <c r="F213" s="1533" t="s">
        <v>339</v>
      </c>
      <c r="G213" s="1534"/>
      <c r="H213" s="141" t="s">
        <v>340</v>
      </c>
      <c r="I213" s="370" t="s">
        <v>244</v>
      </c>
      <c r="J213" s="662">
        <v>200000000</v>
      </c>
      <c r="K213" s="371">
        <v>200000000</v>
      </c>
      <c r="L213" s="144"/>
      <c r="M213" s="573"/>
      <c r="N213" s="492"/>
      <c r="O213" s="361"/>
      <c r="Q213" s="361"/>
    </row>
    <row r="214" spans="2:17" ht="3.75" customHeight="1" x14ac:dyDescent="0.25">
      <c r="C214" s="363"/>
      <c r="D214" s="364"/>
      <c r="E214" s="276"/>
      <c r="F214" s="365"/>
      <c r="G214" s="366"/>
      <c r="H214" s="367"/>
      <c r="I214" s="368"/>
      <c r="J214" s="651"/>
      <c r="K214" s="290"/>
      <c r="M214" s="572"/>
      <c r="Q214" s="230"/>
    </row>
    <row r="215" spans="2:17" s="15" customFormat="1" ht="28.5" customHeight="1" x14ac:dyDescent="0.25">
      <c r="B215" s="13"/>
      <c r="C215" s="1506" t="s">
        <v>458</v>
      </c>
      <c r="D215" s="1507"/>
      <c r="E215" s="1535" t="s">
        <v>341</v>
      </c>
      <c r="F215" s="1536"/>
      <c r="G215" s="1537"/>
      <c r="H215" s="359" t="s">
        <v>342</v>
      </c>
      <c r="I215" s="360"/>
      <c r="J215" s="641">
        <f>SUM(J216:J220)</f>
        <v>1550000000</v>
      </c>
      <c r="K215" s="233">
        <f>SUM(K216:K220)</f>
        <v>1550000000</v>
      </c>
      <c r="L215" s="26"/>
      <c r="M215" s="571"/>
      <c r="N215" s="495"/>
    </row>
    <row r="216" spans="2:17" s="29" customFormat="1" ht="21" customHeight="1" x14ac:dyDescent="0.25">
      <c r="B216" s="13"/>
      <c r="C216" s="39"/>
      <c r="D216" s="140"/>
      <c r="E216" s="109" t="s">
        <v>5</v>
      </c>
      <c r="F216" s="1533" t="s">
        <v>343</v>
      </c>
      <c r="G216" s="1534"/>
      <c r="H216" s="172" t="s">
        <v>344</v>
      </c>
      <c r="I216" s="370" t="s">
        <v>345</v>
      </c>
      <c r="J216" s="662">
        <v>600000000</v>
      </c>
      <c r="K216" s="371">
        <v>600000000</v>
      </c>
      <c r="L216" s="144"/>
      <c r="M216" s="573"/>
      <c r="N216" s="492"/>
      <c r="Q216" s="145"/>
    </row>
    <row r="217" spans="2:17" s="29" customFormat="1" ht="15.75" customHeight="1" x14ac:dyDescent="0.25">
      <c r="B217" s="13"/>
      <c r="C217" s="39"/>
      <c r="D217" s="140"/>
      <c r="E217" s="109" t="s">
        <v>10</v>
      </c>
      <c r="F217" s="1533" t="s">
        <v>346</v>
      </c>
      <c r="G217" s="1534"/>
      <c r="H217" s="369" t="s">
        <v>347</v>
      </c>
      <c r="I217" s="370" t="s">
        <v>348</v>
      </c>
      <c r="J217" s="662">
        <v>400000000</v>
      </c>
      <c r="K217" s="371">
        <v>400000000</v>
      </c>
      <c r="L217" s="144"/>
      <c r="M217" s="573"/>
      <c r="N217" s="492"/>
      <c r="Q217" s="145"/>
    </row>
    <row r="218" spans="2:17" s="29" customFormat="1" ht="25.5" customHeight="1" x14ac:dyDescent="0.25">
      <c r="B218" s="13"/>
      <c r="C218" s="39"/>
      <c r="D218" s="140"/>
      <c r="E218" s="109" t="s">
        <v>13</v>
      </c>
      <c r="F218" s="1531" t="s">
        <v>349</v>
      </c>
      <c r="G218" s="1532"/>
      <c r="H218" s="141" t="s">
        <v>350</v>
      </c>
      <c r="I218" s="142" t="s">
        <v>351</v>
      </c>
      <c r="J218" s="663">
        <v>200000000</v>
      </c>
      <c r="K218" s="372">
        <v>200000000</v>
      </c>
      <c r="L218" s="373"/>
      <c r="M218" s="561"/>
      <c r="N218" s="492"/>
    </row>
    <row r="219" spans="2:17" s="29" customFormat="1" ht="26.25" customHeight="1" x14ac:dyDescent="0.25">
      <c r="B219" s="13"/>
      <c r="C219" s="39"/>
      <c r="D219" s="140"/>
      <c r="E219" s="109" t="s">
        <v>16</v>
      </c>
      <c r="F219" s="1533" t="s">
        <v>352</v>
      </c>
      <c r="G219" s="1534"/>
      <c r="H219" s="141" t="s">
        <v>350</v>
      </c>
      <c r="I219" s="142" t="s">
        <v>351</v>
      </c>
      <c r="J219" s="629">
        <v>200000000</v>
      </c>
      <c r="K219" s="143">
        <v>200000000</v>
      </c>
      <c r="L219" s="144"/>
      <c r="M219" s="561"/>
      <c r="N219" s="492"/>
      <c r="Q219" s="145"/>
    </row>
    <row r="220" spans="2:17" s="29" customFormat="1" ht="15.75" customHeight="1" x14ac:dyDescent="0.25">
      <c r="B220" s="13"/>
      <c r="C220" s="39"/>
      <c r="D220" s="140"/>
      <c r="E220" s="109" t="s">
        <v>19</v>
      </c>
      <c r="F220" s="1533" t="s">
        <v>353</v>
      </c>
      <c r="G220" s="1534"/>
      <c r="H220" s="141" t="s">
        <v>354</v>
      </c>
      <c r="I220" s="142" t="s">
        <v>92</v>
      </c>
      <c r="J220" s="629">
        <v>150000000</v>
      </c>
      <c r="K220" s="143">
        <v>150000000</v>
      </c>
      <c r="L220" s="144"/>
      <c r="M220" s="561"/>
      <c r="N220" s="492"/>
      <c r="Q220" s="145"/>
    </row>
    <row r="221" spans="2:17" s="229" customFormat="1" ht="4.5" customHeight="1" x14ac:dyDescent="0.25">
      <c r="B221" s="59"/>
      <c r="C221" s="374"/>
      <c r="D221" s="375"/>
      <c r="E221" s="375"/>
      <c r="F221" s="1527"/>
      <c r="G221" s="1528"/>
      <c r="H221" s="376"/>
      <c r="I221" s="377"/>
      <c r="J221" s="664"/>
      <c r="K221" s="378"/>
      <c r="L221" s="101"/>
      <c r="M221" s="574"/>
      <c r="N221" s="491"/>
      <c r="Q221" s="309"/>
    </row>
    <row r="222" spans="2:17" s="15" customFormat="1" ht="37.5" customHeight="1" x14ac:dyDescent="0.25">
      <c r="B222" s="13"/>
      <c r="C222" s="1501" t="s">
        <v>459</v>
      </c>
      <c r="D222" s="1502"/>
      <c r="E222" s="1512" t="s">
        <v>355</v>
      </c>
      <c r="F222" s="1513"/>
      <c r="G222" s="1514"/>
      <c r="H222" s="231" t="s">
        <v>356</v>
      </c>
      <c r="I222" s="379"/>
      <c r="J222" s="649">
        <f>J223+J226+J228+J231+J232+J233+J235+J236</f>
        <v>5200000000</v>
      </c>
      <c r="K222" s="283">
        <f>K223+K226+K228+K231+K232+K233+K235+K236</f>
        <v>5200000000</v>
      </c>
      <c r="L222" s="104"/>
      <c r="M222" s="575"/>
      <c r="N222" s="14"/>
      <c r="O222" s="145"/>
      <c r="Q222" s="145"/>
    </row>
    <row r="223" spans="2:17" s="82" customFormat="1" ht="24.75" customHeight="1" x14ac:dyDescent="0.25">
      <c r="B223" s="59"/>
      <c r="C223" s="49"/>
      <c r="D223" s="79"/>
      <c r="E223" s="140" t="s">
        <v>5</v>
      </c>
      <c r="F223" s="1529" t="s">
        <v>357</v>
      </c>
      <c r="G223" s="1530"/>
      <c r="H223" s="380" t="s">
        <v>358</v>
      </c>
      <c r="I223" s="381" t="s">
        <v>244</v>
      </c>
      <c r="J223" s="659">
        <f>J224+J225</f>
        <v>950000000</v>
      </c>
      <c r="K223" s="331">
        <f>K224+K225</f>
        <v>950000000</v>
      </c>
      <c r="L223" s="319"/>
      <c r="M223" s="576"/>
      <c r="N223" s="504"/>
      <c r="O223" s="63"/>
      <c r="Q223" s="63"/>
    </row>
    <row r="224" spans="2:17" s="82" customFormat="1" ht="16.5" customHeight="1" x14ac:dyDescent="0.25">
      <c r="B224" s="59"/>
      <c r="C224" s="49"/>
      <c r="D224" s="79"/>
      <c r="E224" s="40"/>
      <c r="F224" s="382" t="s">
        <v>46</v>
      </c>
      <c r="G224" s="383" t="s">
        <v>357</v>
      </c>
      <c r="H224" s="384"/>
      <c r="I224" s="385"/>
      <c r="J224" s="665">
        <v>550000000</v>
      </c>
      <c r="K224" s="386">
        <v>550000000</v>
      </c>
      <c r="L224" s="387"/>
      <c r="M224" s="577"/>
      <c r="N224" s="506"/>
      <c r="O224" s="63"/>
      <c r="Q224" s="63"/>
    </row>
    <row r="225" spans="2:17" s="306" customFormat="1" x14ac:dyDescent="0.25">
      <c r="B225" s="13"/>
      <c r="C225" s="263"/>
      <c r="D225" s="388"/>
      <c r="E225" s="156"/>
      <c r="F225" s="389" t="s">
        <v>46</v>
      </c>
      <c r="G225" s="390" t="s">
        <v>359</v>
      </c>
      <c r="H225" s="391"/>
      <c r="I225" s="392"/>
      <c r="J225" s="666">
        <v>400000000</v>
      </c>
      <c r="K225" s="393">
        <v>400000000</v>
      </c>
      <c r="L225" s="387"/>
      <c r="M225" s="578"/>
      <c r="N225" s="506"/>
      <c r="Q225" s="307"/>
    </row>
    <row r="226" spans="2:17" s="29" customFormat="1" ht="21.75" customHeight="1" x14ac:dyDescent="0.25">
      <c r="B226" s="13"/>
      <c r="C226" s="49"/>
      <c r="D226" s="79"/>
      <c r="E226" s="109" t="s">
        <v>10</v>
      </c>
      <c r="F226" s="1517" t="s">
        <v>360</v>
      </c>
      <c r="G226" s="1518"/>
      <c r="H226" s="394" t="s">
        <v>361</v>
      </c>
      <c r="I226" s="381" t="s">
        <v>244</v>
      </c>
      <c r="J226" s="667">
        <f>J227</f>
        <v>1000000000</v>
      </c>
      <c r="K226" s="395">
        <f>K227</f>
        <v>1000000000</v>
      </c>
      <c r="L226" s="319"/>
      <c r="M226" s="576"/>
      <c r="N226" s="504"/>
      <c r="Q226" s="145"/>
    </row>
    <row r="227" spans="2:17" s="306" customFormat="1" ht="27.75" customHeight="1" x14ac:dyDescent="0.25">
      <c r="B227" s="13"/>
      <c r="C227" s="263"/>
      <c r="D227" s="388"/>
      <c r="E227" s="156"/>
      <c r="F227" s="389" t="s">
        <v>46</v>
      </c>
      <c r="G227" s="390" t="s">
        <v>362</v>
      </c>
      <c r="H227" s="391"/>
      <c r="I227" s="392"/>
      <c r="J227" s="666">
        <v>1000000000</v>
      </c>
      <c r="K227" s="393">
        <v>1000000000</v>
      </c>
      <c r="L227" s="387"/>
      <c r="M227" s="578"/>
      <c r="N227" s="506"/>
      <c r="O227" s="307"/>
      <c r="Q227" s="307"/>
    </row>
    <row r="228" spans="2:17" s="29" customFormat="1" ht="21.75" customHeight="1" x14ac:dyDescent="0.25">
      <c r="B228" s="13"/>
      <c r="C228" s="49"/>
      <c r="D228" s="79"/>
      <c r="E228" s="109" t="s">
        <v>13</v>
      </c>
      <c r="F228" s="1519" t="s">
        <v>363</v>
      </c>
      <c r="G228" s="1520"/>
      <c r="H228" s="394" t="s">
        <v>364</v>
      </c>
      <c r="I228" s="381" t="s">
        <v>365</v>
      </c>
      <c r="J228" s="667">
        <f>SUM(J229:J230)</f>
        <v>550000000</v>
      </c>
      <c r="K228" s="395">
        <f>SUM(K229:K230)</f>
        <v>550000000</v>
      </c>
      <c r="L228" s="319"/>
      <c r="M228" s="576"/>
      <c r="N228" s="504"/>
      <c r="O228" s="396"/>
      <c r="Q228" s="145"/>
    </row>
    <row r="229" spans="2:17" s="306" customFormat="1" ht="15" customHeight="1" x14ac:dyDescent="0.25">
      <c r="B229" s="13"/>
      <c r="C229" s="263"/>
      <c r="D229" s="388"/>
      <c r="E229" s="156"/>
      <c r="F229" s="397" t="s">
        <v>46</v>
      </c>
      <c r="G229" s="398" t="s">
        <v>366</v>
      </c>
      <c r="H229" s="391"/>
      <c r="I229" s="392" t="s">
        <v>244</v>
      </c>
      <c r="J229" s="666">
        <v>300000000</v>
      </c>
      <c r="K229" s="393">
        <v>300000000</v>
      </c>
      <c r="L229" s="387"/>
      <c r="M229" s="578"/>
      <c r="N229" s="506"/>
      <c r="Q229" s="307"/>
    </row>
    <row r="230" spans="2:17" s="306" customFormat="1" ht="15" customHeight="1" x14ac:dyDescent="0.25">
      <c r="B230" s="13"/>
      <c r="C230" s="263"/>
      <c r="D230" s="388"/>
      <c r="E230" s="156"/>
      <c r="F230" s="397" t="s">
        <v>46</v>
      </c>
      <c r="G230" s="398" t="s">
        <v>367</v>
      </c>
      <c r="H230" s="391"/>
      <c r="I230" s="392" t="s">
        <v>244</v>
      </c>
      <c r="J230" s="666">
        <v>250000000</v>
      </c>
      <c r="K230" s="393">
        <v>250000000</v>
      </c>
      <c r="L230" s="387"/>
      <c r="M230" s="578"/>
      <c r="N230" s="506"/>
      <c r="O230" s="307"/>
      <c r="Q230" s="307"/>
    </row>
    <row r="231" spans="2:17" s="306" customFormat="1" ht="30.75" customHeight="1" x14ac:dyDescent="0.25">
      <c r="B231" s="13"/>
      <c r="C231" s="49"/>
      <c r="D231" s="79"/>
      <c r="E231" s="109" t="s">
        <v>16</v>
      </c>
      <c r="F231" s="1521" t="s">
        <v>368</v>
      </c>
      <c r="G231" s="1522"/>
      <c r="H231" s="354" t="s">
        <v>369</v>
      </c>
      <c r="I231" s="381">
        <v>0.2</v>
      </c>
      <c r="J231" s="667">
        <v>1000000000</v>
      </c>
      <c r="K231" s="395">
        <v>1000000000</v>
      </c>
      <c r="L231" s="319"/>
      <c r="M231" s="576"/>
      <c r="N231" s="504"/>
      <c r="Q231" s="307"/>
    </row>
    <row r="232" spans="2:17" s="306" customFormat="1" ht="22.5" customHeight="1" x14ac:dyDescent="0.25">
      <c r="B232" s="13"/>
      <c r="C232" s="399"/>
      <c r="D232" s="109"/>
      <c r="E232" s="109" t="s">
        <v>19</v>
      </c>
      <c r="F232" s="1517" t="s">
        <v>371</v>
      </c>
      <c r="G232" s="1518"/>
      <c r="H232" s="394" t="s">
        <v>372</v>
      </c>
      <c r="I232" s="381" t="s">
        <v>370</v>
      </c>
      <c r="J232" s="667">
        <v>600000000</v>
      </c>
      <c r="K232" s="395">
        <v>600000000</v>
      </c>
      <c r="L232" s="319"/>
      <c r="M232" s="576"/>
      <c r="N232" s="504"/>
      <c r="Q232" s="307"/>
    </row>
    <row r="233" spans="2:17" s="29" customFormat="1" ht="18.75" customHeight="1" x14ac:dyDescent="0.25">
      <c r="B233" s="13"/>
      <c r="C233" s="400"/>
      <c r="D233" s="77"/>
      <c r="E233" s="77" t="s">
        <v>27</v>
      </c>
      <c r="F233" s="1523" t="s">
        <v>373</v>
      </c>
      <c r="G233" s="1524"/>
      <c r="H233" s="401" t="s">
        <v>374</v>
      </c>
      <c r="I233" s="402" t="s">
        <v>370</v>
      </c>
      <c r="J233" s="659">
        <f>SUM(J234:J234)</f>
        <v>400000000</v>
      </c>
      <c r="K233" s="331">
        <f>SUM(K234:K234)</f>
        <v>400000000</v>
      </c>
      <c r="L233" s="319"/>
      <c r="M233" s="579"/>
      <c r="N233" s="504"/>
      <c r="Q233" s="145"/>
    </row>
    <row r="234" spans="2:17" s="306" customFormat="1" ht="16.5" customHeight="1" x14ac:dyDescent="0.25">
      <c r="B234" s="13"/>
      <c r="C234" s="403"/>
      <c r="D234" s="156"/>
      <c r="E234" s="156"/>
      <c r="F234" s="404" t="s">
        <v>46</v>
      </c>
      <c r="G234" s="405" t="s">
        <v>375</v>
      </c>
      <c r="H234" s="391"/>
      <c r="I234" s="392"/>
      <c r="J234" s="666">
        <v>400000000</v>
      </c>
      <c r="K234" s="393">
        <v>400000000</v>
      </c>
      <c r="L234" s="387"/>
      <c r="M234" s="578"/>
      <c r="N234" s="506"/>
      <c r="Q234" s="307"/>
    </row>
    <row r="235" spans="2:17" s="29" customFormat="1" ht="21" customHeight="1" x14ac:dyDescent="0.25">
      <c r="B235" s="13"/>
      <c r="C235" s="399"/>
      <c r="D235" s="109"/>
      <c r="E235" s="109" t="s">
        <v>30</v>
      </c>
      <c r="F235" s="1525" t="s">
        <v>376</v>
      </c>
      <c r="G235" s="1526"/>
      <c r="H235" s="354" t="s">
        <v>377</v>
      </c>
      <c r="I235" s="406" t="s">
        <v>370</v>
      </c>
      <c r="J235" s="668">
        <v>300000000</v>
      </c>
      <c r="K235" s="407">
        <v>300000000</v>
      </c>
      <c r="L235" s="319"/>
      <c r="M235" s="580"/>
      <c r="N235" s="504"/>
      <c r="Q235" s="145"/>
    </row>
    <row r="236" spans="2:17" s="29" customFormat="1" ht="21" customHeight="1" x14ac:dyDescent="0.25">
      <c r="B236" s="13"/>
      <c r="C236" s="399"/>
      <c r="D236" s="109"/>
      <c r="E236" s="109" t="s">
        <v>8</v>
      </c>
      <c r="F236" s="1510" t="s">
        <v>409</v>
      </c>
      <c r="G236" s="1511"/>
      <c r="H236" s="394" t="s">
        <v>410</v>
      </c>
      <c r="I236" s="381" t="s">
        <v>370</v>
      </c>
      <c r="J236" s="669">
        <v>400000000</v>
      </c>
      <c r="K236" s="408">
        <v>400000000</v>
      </c>
      <c r="L236" s="319"/>
      <c r="M236" s="576"/>
      <c r="N236" s="504"/>
      <c r="Q236" s="145"/>
    </row>
    <row r="237" spans="2:17" s="29" customFormat="1" ht="3.75" customHeight="1" x14ac:dyDescent="0.25">
      <c r="B237" s="13"/>
      <c r="C237" s="399"/>
      <c r="D237" s="109"/>
      <c r="E237" s="109"/>
      <c r="F237" s="409"/>
      <c r="G237" s="410"/>
      <c r="H237" s="354"/>
      <c r="I237" s="406"/>
      <c r="J237" s="670"/>
      <c r="K237" s="411"/>
      <c r="L237" s="319"/>
      <c r="M237" s="580"/>
      <c r="N237" s="504"/>
      <c r="Q237" s="145"/>
    </row>
    <row r="238" spans="2:17" s="29" customFormat="1" ht="35.25" customHeight="1" x14ac:dyDescent="0.25">
      <c r="B238" s="13"/>
      <c r="C238" s="1501" t="s">
        <v>460</v>
      </c>
      <c r="D238" s="1502"/>
      <c r="E238" s="1512" t="s">
        <v>378</v>
      </c>
      <c r="F238" s="1513"/>
      <c r="G238" s="1514"/>
      <c r="H238" s="412" t="s">
        <v>379</v>
      </c>
      <c r="I238" s="413"/>
      <c r="J238" s="649">
        <f>J239+J240+J241</f>
        <v>500000000</v>
      </c>
      <c r="K238" s="283">
        <f>K239+K240+K241</f>
        <v>500000000</v>
      </c>
      <c r="L238" s="104"/>
      <c r="M238" s="581"/>
      <c r="N238" s="14"/>
      <c r="Q238" s="145"/>
    </row>
    <row r="239" spans="2:17" s="29" customFormat="1" ht="23.25" customHeight="1" x14ac:dyDescent="0.25">
      <c r="B239" s="13"/>
      <c r="C239" s="399"/>
      <c r="D239" s="109"/>
      <c r="E239" s="109" t="s">
        <v>5</v>
      </c>
      <c r="F239" s="1515" t="s">
        <v>380</v>
      </c>
      <c r="G239" s="1516"/>
      <c r="H239" s="401" t="s">
        <v>381</v>
      </c>
      <c r="I239" s="402" t="s">
        <v>244</v>
      </c>
      <c r="J239" s="659">
        <v>175000000</v>
      </c>
      <c r="K239" s="331">
        <v>175000000</v>
      </c>
      <c r="L239" s="319"/>
      <c r="M239" s="579"/>
      <c r="N239" s="504"/>
      <c r="Q239" s="145"/>
    </row>
    <row r="240" spans="2:17" s="29" customFormat="1" ht="27.75" customHeight="1" x14ac:dyDescent="0.25">
      <c r="B240" s="13"/>
      <c r="C240" s="399"/>
      <c r="D240" s="109"/>
      <c r="E240" s="109" t="s">
        <v>10</v>
      </c>
      <c r="F240" s="1510" t="s">
        <v>382</v>
      </c>
      <c r="G240" s="1511"/>
      <c r="H240" s="394" t="s">
        <v>383</v>
      </c>
      <c r="I240" s="381" t="s">
        <v>244</v>
      </c>
      <c r="J240" s="667">
        <v>175000000</v>
      </c>
      <c r="K240" s="395">
        <v>175000000</v>
      </c>
      <c r="L240" s="319"/>
      <c r="M240" s="576"/>
      <c r="N240" s="504"/>
      <c r="Q240" s="145"/>
    </row>
    <row r="241" spans="2:17" s="29" customFormat="1" ht="30.75" customHeight="1" x14ac:dyDescent="0.25">
      <c r="B241" s="13"/>
      <c r="C241" s="399"/>
      <c r="D241" s="109"/>
      <c r="E241" s="109" t="s">
        <v>13</v>
      </c>
      <c r="F241" s="1510" t="s">
        <v>384</v>
      </c>
      <c r="G241" s="1511"/>
      <c r="H241" s="394" t="s">
        <v>385</v>
      </c>
      <c r="I241" s="381" t="s">
        <v>244</v>
      </c>
      <c r="J241" s="667">
        <v>150000000</v>
      </c>
      <c r="K241" s="395">
        <v>150000000</v>
      </c>
      <c r="L241" s="319"/>
      <c r="M241" s="576"/>
      <c r="N241" s="504"/>
      <c r="Q241" s="145"/>
    </row>
    <row r="242" spans="2:17" s="29" customFormat="1" ht="16.5" hidden="1" customHeight="1" x14ac:dyDescent="0.25">
      <c r="B242" s="13"/>
      <c r="C242" s="399"/>
      <c r="D242" s="109"/>
      <c r="E242" s="109"/>
      <c r="F242" s="404" t="s">
        <v>46</v>
      </c>
      <c r="G242" s="405" t="s">
        <v>386</v>
      </c>
      <c r="H242" s="391"/>
      <c r="I242" s="392"/>
      <c r="J242" s="671">
        <v>300000000</v>
      </c>
      <c r="K242" s="414">
        <v>300000000</v>
      </c>
      <c r="L242" s="387"/>
      <c r="M242" s="578"/>
      <c r="N242" s="506"/>
      <c r="Q242" s="145"/>
    </row>
    <row r="243" spans="2:17" ht="3.75" customHeight="1" x14ac:dyDescent="0.25">
      <c r="C243" s="415"/>
      <c r="D243" s="338"/>
      <c r="E243" s="338"/>
      <c r="F243" s="416"/>
      <c r="G243" s="417"/>
      <c r="H243" s="367"/>
      <c r="I243" s="418"/>
      <c r="J243" s="648"/>
      <c r="K243" s="281"/>
      <c r="L243" s="101"/>
      <c r="M243" s="582"/>
      <c r="N243" s="491"/>
      <c r="Q243" s="230"/>
    </row>
    <row r="244" spans="2:17" s="15" customFormat="1" ht="36.75" customHeight="1" x14ac:dyDescent="0.25">
      <c r="B244" s="13"/>
      <c r="C244" s="1501" t="s">
        <v>461</v>
      </c>
      <c r="D244" s="1502"/>
      <c r="E244" s="1512" t="s">
        <v>387</v>
      </c>
      <c r="F244" s="1513"/>
      <c r="G244" s="1514"/>
      <c r="H244" s="231" t="s">
        <v>388</v>
      </c>
      <c r="I244" s="379"/>
      <c r="J244" s="649">
        <f>J245</f>
        <v>300000000</v>
      </c>
      <c r="K244" s="283">
        <f>K245</f>
        <v>300000000</v>
      </c>
      <c r="L244" s="104"/>
      <c r="M244" s="575"/>
      <c r="N244" s="14"/>
      <c r="Q244" s="145"/>
    </row>
    <row r="245" spans="2:17" s="29" customFormat="1" ht="31.5" customHeight="1" x14ac:dyDescent="0.25">
      <c r="B245" s="13"/>
      <c r="C245" s="76"/>
      <c r="D245" s="77"/>
      <c r="E245" s="77" t="s">
        <v>5</v>
      </c>
      <c r="F245" s="1503" t="s">
        <v>390</v>
      </c>
      <c r="G245" s="1504"/>
      <c r="H245" s="293" t="s">
        <v>388</v>
      </c>
      <c r="I245" s="419">
        <v>1</v>
      </c>
      <c r="J245" s="659">
        <v>300000000</v>
      </c>
      <c r="K245" s="331">
        <v>300000000</v>
      </c>
      <c r="L245" s="319"/>
      <c r="M245" s="583"/>
      <c r="N245" s="504"/>
      <c r="Q245" s="145"/>
    </row>
    <row r="246" spans="2:17" ht="3" customHeight="1" thickBot="1" x14ac:dyDescent="0.3">
      <c r="C246" s="420"/>
      <c r="D246" s="421"/>
      <c r="E246" s="421"/>
      <c r="F246" s="422"/>
      <c r="G246" s="423"/>
      <c r="H246" s="424"/>
      <c r="I246" s="425"/>
      <c r="J246" s="672"/>
      <c r="K246" s="426"/>
      <c r="L246" s="101"/>
      <c r="M246" s="539"/>
      <c r="N246" s="491"/>
    </row>
    <row r="247" spans="2:17" ht="13.5" thickTop="1" x14ac:dyDescent="0.25"/>
  </sheetData>
  <mergeCells count="165">
    <mergeCell ref="C2:K2"/>
    <mergeCell ref="C3:L3"/>
    <mergeCell ref="C4:L4"/>
    <mergeCell ref="C6:D6"/>
    <mergeCell ref="E6:G6"/>
    <mergeCell ref="C8:E9"/>
    <mergeCell ref="F8:G9"/>
    <mergeCell ref="H8:H9"/>
    <mergeCell ref="I8:I9"/>
    <mergeCell ref="J8:J9"/>
    <mergeCell ref="D13:G13"/>
    <mergeCell ref="E14:G14"/>
    <mergeCell ref="E15:G15"/>
    <mergeCell ref="E16:G16"/>
    <mergeCell ref="E17:G17"/>
    <mergeCell ref="E18:G18"/>
    <mergeCell ref="K8:K9"/>
    <mergeCell ref="M8:M9"/>
    <mergeCell ref="C10:E10"/>
    <mergeCell ref="F10:G10"/>
    <mergeCell ref="D11:G11"/>
    <mergeCell ref="D12:I12"/>
    <mergeCell ref="E25:G25"/>
    <mergeCell ref="E26:G26"/>
    <mergeCell ref="E27:G27"/>
    <mergeCell ref="E28:G28"/>
    <mergeCell ref="E29:G29"/>
    <mergeCell ref="F30:G30"/>
    <mergeCell ref="E19:G19"/>
    <mergeCell ref="E20:G20"/>
    <mergeCell ref="E21:G21"/>
    <mergeCell ref="E22:G22"/>
    <mergeCell ref="F23:G23"/>
    <mergeCell ref="D24:G24"/>
    <mergeCell ref="E36:G36"/>
    <mergeCell ref="E37:G37"/>
    <mergeCell ref="F38:G38"/>
    <mergeCell ref="D39:G39"/>
    <mergeCell ref="E40:G40"/>
    <mergeCell ref="E41:G41"/>
    <mergeCell ref="F31:G31"/>
    <mergeCell ref="E32:G32"/>
    <mergeCell ref="F33:G33"/>
    <mergeCell ref="F34:G34"/>
    <mergeCell ref="E35:G35"/>
    <mergeCell ref="E48:G48"/>
    <mergeCell ref="E49:G49"/>
    <mergeCell ref="D51:I51"/>
    <mergeCell ref="C52:D52"/>
    <mergeCell ref="E52:G52"/>
    <mergeCell ref="F53:G53"/>
    <mergeCell ref="D42:G42"/>
    <mergeCell ref="E43:G43"/>
    <mergeCell ref="E44:G44"/>
    <mergeCell ref="D45:G45"/>
    <mergeCell ref="E46:G46"/>
    <mergeCell ref="E47:G47"/>
    <mergeCell ref="F66:G66"/>
    <mergeCell ref="F67:G67"/>
    <mergeCell ref="F74:G74"/>
    <mergeCell ref="F88:G88"/>
    <mergeCell ref="F89:G89"/>
    <mergeCell ref="F91:G91"/>
    <mergeCell ref="F54:G54"/>
    <mergeCell ref="F57:G57"/>
    <mergeCell ref="F60:G60"/>
    <mergeCell ref="F61:G61"/>
    <mergeCell ref="F64:G64"/>
    <mergeCell ref="F65:G65"/>
    <mergeCell ref="F117:G117"/>
    <mergeCell ref="F119:G119"/>
    <mergeCell ref="F121:G121"/>
    <mergeCell ref="F124:G124"/>
    <mergeCell ref="C128:D128"/>
    <mergeCell ref="E128:G128"/>
    <mergeCell ref="F94:G94"/>
    <mergeCell ref="F98:G98"/>
    <mergeCell ref="F104:G104"/>
    <mergeCell ref="F107:G107"/>
    <mergeCell ref="F111:G111"/>
    <mergeCell ref="F115:G115"/>
    <mergeCell ref="F138:G138"/>
    <mergeCell ref="F139:G139"/>
    <mergeCell ref="F140:G140"/>
    <mergeCell ref="F141:G141"/>
    <mergeCell ref="F142:G142"/>
    <mergeCell ref="F145:G145"/>
    <mergeCell ref="F129:G129"/>
    <mergeCell ref="F130:G130"/>
    <mergeCell ref="F131:G131"/>
    <mergeCell ref="F132:G132"/>
    <mergeCell ref="F136:G136"/>
    <mergeCell ref="F137:G137"/>
    <mergeCell ref="F152:G152"/>
    <mergeCell ref="C153:D153"/>
    <mergeCell ref="E153:G153"/>
    <mergeCell ref="F154:G154"/>
    <mergeCell ref="F155:G155"/>
    <mergeCell ref="F156:G156"/>
    <mergeCell ref="F146:G146"/>
    <mergeCell ref="F147:G147"/>
    <mergeCell ref="F148:G148"/>
    <mergeCell ref="F149:G149"/>
    <mergeCell ref="F150:G150"/>
    <mergeCell ref="F151:G151"/>
    <mergeCell ref="F164:G164"/>
    <mergeCell ref="C166:D166"/>
    <mergeCell ref="E166:G166"/>
    <mergeCell ref="F167:G167"/>
    <mergeCell ref="F171:G171"/>
    <mergeCell ref="F174:G174"/>
    <mergeCell ref="F157:G157"/>
    <mergeCell ref="C158:D158"/>
    <mergeCell ref="E158:G158"/>
    <mergeCell ref="F159:G159"/>
    <mergeCell ref="F160:G160"/>
    <mergeCell ref="F162:G162"/>
    <mergeCell ref="F197:G197"/>
    <mergeCell ref="F198:G198"/>
    <mergeCell ref="F201:G201"/>
    <mergeCell ref="F202:G202"/>
    <mergeCell ref="F203:G203"/>
    <mergeCell ref="F204:G204"/>
    <mergeCell ref="F177:G177"/>
    <mergeCell ref="F180:G180"/>
    <mergeCell ref="F184:G184"/>
    <mergeCell ref="F187:G187"/>
    <mergeCell ref="F190:G190"/>
    <mergeCell ref="F194:G194"/>
    <mergeCell ref="C211:D211"/>
    <mergeCell ref="E211:G211"/>
    <mergeCell ref="F212:G212"/>
    <mergeCell ref="F213:G213"/>
    <mergeCell ref="C215:D215"/>
    <mergeCell ref="E215:G215"/>
    <mergeCell ref="F205:G205"/>
    <mergeCell ref="F206:G206"/>
    <mergeCell ref="C207:D207"/>
    <mergeCell ref="E207:G207"/>
    <mergeCell ref="F208:G208"/>
    <mergeCell ref="F209:G209"/>
    <mergeCell ref="C222:D222"/>
    <mergeCell ref="E222:G222"/>
    <mergeCell ref="F223:G223"/>
    <mergeCell ref="F226:G226"/>
    <mergeCell ref="F228:G228"/>
    <mergeCell ref="F231:G231"/>
    <mergeCell ref="F216:G216"/>
    <mergeCell ref="F217:G217"/>
    <mergeCell ref="F218:G218"/>
    <mergeCell ref="F219:G219"/>
    <mergeCell ref="F220:G220"/>
    <mergeCell ref="F221:G221"/>
    <mergeCell ref="F239:G239"/>
    <mergeCell ref="F240:G240"/>
    <mergeCell ref="F241:G241"/>
    <mergeCell ref="C244:D244"/>
    <mergeCell ref="E244:G244"/>
    <mergeCell ref="F245:G245"/>
    <mergeCell ref="F232:G232"/>
    <mergeCell ref="F233:G233"/>
    <mergeCell ref="F235:G235"/>
    <mergeCell ref="F236:G236"/>
    <mergeCell ref="C238:D238"/>
    <mergeCell ref="E238:G238"/>
  </mergeCells>
  <printOptions horizontalCentered="1"/>
  <pageMargins left="0.43307086614173229" right="0.43307086614173229" top="0.59055118110236227" bottom="0.39370078740157483" header="0" footer="0"/>
  <pageSetup paperSize="9" scale="55" fitToHeight="0" orientation="portrait" useFirstPageNumber="1" r:id="rId1"/>
  <headerFooter>
    <oddFooter>&amp;L&amp;"Cambria,Italic"&amp;7&amp;K05-049&amp;F / &amp;A&amp;C&amp;"Cambria,Italic"&amp;7&amp;K04-021Hal &amp;P dari &amp;N&amp;R&amp;"-,Italic"&amp;7&amp;K09-022&amp;D /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workbookViewId="0">
      <selection activeCell="M15" sqref="M15"/>
    </sheetView>
  </sheetViews>
  <sheetFormatPr defaultRowHeight="15" x14ac:dyDescent="0.25"/>
  <cols>
    <col min="1" max="1" width="9.140625" style="1145" customWidth="1"/>
    <col min="2" max="2" width="0.5703125" style="1145" customWidth="1"/>
    <col min="3" max="3" width="7.140625" style="1145" customWidth="1"/>
    <col min="4" max="4" width="58" style="1145" customWidth="1"/>
    <col min="5" max="5" width="11.140625" style="1145" customWidth="1"/>
    <col min="6" max="6" width="15.5703125" style="1145" customWidth="1"/>
    <col min="7" max="7" width="9.140625" style="1145"/>
    <col min="8" max="8" width="31.5703125" style="1145" customWidth="1"/>
    <col min="9" max="9" width="0.42578125" style="1145" customWidth="1"/>
    <col min="10" max="16384" width="9.140625" style="1145"/>
  </cols>
  <sheetData>
    <row r="1" spans="2:9" ht="15.75" x14ac:dyDescent="0.25">
      <c r="C1" s="1776" t="s">
        <v>547</v>
      </c>
      <c r="D1" s="1776"/>
      <c r="E1" s="1776"/>
      <c r="F1" s="1776"/>
      <c r="G1" s="1776"/>
      <c r="H1" s="1776"/>
    </row>
    <row r="2" spans="2:9" ht="14.25" customHeight="1" x14ac:dyDescent="0.25"/>
    <row r="3" spans="2:9" ht="24.75" customHeight="1" x14ac:dyDescent="0.25">
      <c r="C3" s="1146" t="s">
        <v>548</v>
      </c>
    </row>
    <row r="4" spans="2:9" ht="3" customHeight="1" thickBot="1" x14ac:dyDescent="0.3">
      <c r="B4" s="1777"/>
      <c r="C4" s="1777"/>
      <c r="D4" s="1777"/>
      <c r="E4" s="1777"/>
      <c r="F4" s="1777"/>
      <c r="G4" s="1777"/>
      <c r="H4" s="1777"/>
      <c r="I4" s="1777"/>
    </row>
    <row r="5" spans="2:9" ht="17.25" customHeight="1" thickTop="1" x14ac:dyDescent="0.25">
      <c r="B5" s="1777"/>
      <c r="C5" s="1778" t="s">
        <v>549</v>
      </c>
      <c r="D5" s="1780" t="s">
        <v>550</v>
      </c>
      <c r="E5" s="1780" t="s">
        <v>551</v>
      </c>
      <c r="F5" s="1780"/>
      <c r="G5" s="1780"/>
      <c r="H5" s="1782" t="s">
        <v>552</v>
      </c>
      <c r="I5" s="1777"/>
    </row>
    <row r="6" spans="2:9" ht="30.75" thickBot="1" x14ac:dyDescent="0.3">
      <c r="B6" s="1777"/>
      <c r="C6" s="1779"/>
      <c r="D6" s="1781"/>
      <c r="E6" s="1147" t="s">
        <v>553</v>
      </c>
      <c r="F6" s="1372" t="s">
        <v>554</v>
      </c>
      <c r="G6" s="1372" t="s">
        <v>555</v>
      </c>
      <c r="H6" s="1783"/>
      <c r="I6" s="1777"/>
    </row>
    <row r="7" spans="2:9" s="1153" customFormat="1" ht="20.25" customHeight="1" thickTop="1" x14ac:dyDescent="0.25">
      <c r="B7" s="1777"/>
      <c r="C7" s="1149">
        <v>1</v>
      </c>
      <c r="D7" s="1150" t="s">
        <v>556</v>
      </c>
      <c r="E7" s="1151">
        <v>3</v>
      </c>
      <c r="F7" s="1151">
        <v>3.5</v>
      </c>
      <c r="G7" s="1151">
        <f>E7+F7</f>
        <v>6.5</v>
      </c>
      <c r="H7" s="1152"/>
      <c r="I7" s="1777"/>
    </row>
    <row r="8" spans="2:9" s="1153" customFormat="1" ht="20.25" customHeight="1" x14ac:dyDescent="0.25">
      <c r="B8" s="1777"/>
      <c r="C8" s="1154">
        <v>2</v>
      </c>
      <c r="D8" s="1155" t="s">
        <v>557</v>
      </c>
      <c r="E8" s="1156">
        <v>7.5</v>
      </c>
      <c r="F8" s="1156">
        <v>7.5</v>
      </c>
      <c r="G8" s="1156">
        <f t="shared" ref="G8:G11" si="0">E8+F8</f>
        <v>15</v>
      </c>
      <c r="H8" s="1157" t="s">
        <v>558</v>
      </c>
      <c r="I8" s="1777"/>
    </row>
    <row r="9" spans="2:9" s="1153" customFormat="1" ht="20.25" customHeight="1" x14ac:dyDescent="0.25">
      <c r="B9" s="1777"/>
      <c r="C9" s="1154">
        <v>3</v>
      </c>
      <c r="D9" s="1155" t="s">
        <v>559</v>
      </c>
      <c r="E9" s="1156">
        <v>1.5</v>
      </c>
      <c r="F9" s="1156">
        <v>3</v>
      </c>
      <c r="G9" s="1156">
        <f t="shared" si="0"/>
        <v>4.5</v>
      </c>
      <c r="H9" s="1157" t="s">
        <v>560</v>
      </c>
      <c r="I9" s="1777"/>
    </row>
    <row r="10" spans="2:9" s="1153" customFormat="1" ht="20.25" customHeight="1" x14ac:dyDescent="0.25">
      <c r="B10" s="1777"/>
      <c r="C10" s="1154">
        <v>4</v>
      </c>
      <c r="D10" s="1155" t="s">
        <v>561</v>
      </c>
      <c r="E10" s="1156">
        <v>5</v>
      </c>
      <c r="F10" s="1156">
        <v>0.5</v>
      </c>
      <c r="G10" s="1156">
        <f t="shared" si="0"/>
        <v>5.5</v>
      </c>
      <c r="H10" s="1157" t="s">
        <v>562</v>
      </c>
      <c r="I10" s="1777"/>
    </row>
    <row r="11" spans="2:9" s="1153" customFormat="1" ht="20.25" customHeight="1" x14ac:dyDescent="0.25">
      <c r="B11" s="1777"/>
      <c r="C11" s="1154">
        <v>5</v>
      </c>
      <c r="D11" s="1155" t="s">
        <v>518</v>
      </c>
      <c r="E11" s="1156">
        <v>0</v>
      </c>
      <c r="F11" s="1156">
        <v>0.5</v>
      </c>
      <c r="G11" s="1156">
        <f t="shared" si="0"/>
        <v>0.5</v>
      </c>
      <c r="H11" s="1157"/>
      <c r="I11" s="1777"/>
    </row>
    <row r="12" spans="2:9" s="1153" customFormat="1" ht="20.25" customHeight="1" thickBot="1" x14ac:dyDescent="0.3">
      <c r="B12" s="1777"/>
      <c r="C12" s="1784" t="s">
        <v>555</v>
      </c>
      <c r="D12" s="1785"/>
      <c r="E12" s="1158">
        <f>SUM(E7:E11)</f>
        <v>17</v>
      </c>
      <c r="F12" s="1158">
        <f>SUM(F7:F11)</f>
        <v>15</v>
      </c>
      <c r="G12" s="1158">
        <f>SUM(G7:G11)</f>
        <v>32</v>
      </c>
      <c r="H12" s="1159"/>
      <c r="I12" s="1777"/>
    </row>
    <row r="13" spans="2:9" ht="3" customHeight="1" thickTop="1" x14ac:dyDescent="0.25">
      <c r="B13" s="1777"/>
      <c r="C13" s="1786"/>
      <c r="D13" s="1786"/>
      <c r="E13" s="1786"/>
      <c r="F13" s="1786"/>
      <c r="G13" s="1786"/>
      <c r="H13" s="1786"/>
      <c r="I13" s="1777"/>
    </row>
    <row r="22" spans="2:9" ht="15.75" x14ac:dyDescent="0.25">
      <c r="C22" s="1776" t="s">
        <v>547</v>
      </c>
      <c r="D22" s="1776"/>
      <c r="E22" s="1776"/>
      <c r="F22" s="1776"/>
      <c r="G22" s="1776"/>
      <c r="H22" s="1776"/>
    </row>
    <row r="24" spans="2:9" x14ac:dyDescent="0.25">
      <c r="C24" s="1146" t="s">
        <v>548</v>
      </c>
    </row>
    <row r="25" spans="2:9" ht="3" customHeight="1" thickBot="1" x14ac:dyDescent="0.3">
      <c r="B25" s="1777"/>
      <c r="C25" s="1777"/>
      <c r="D25" s="1777"/>
      <c r="E25" s="1777"/>
      <c r="F25" s="1777"/>
      <c r="G25" s="1777"/>
      <c r="H25" s="1777"/>
      <c r="I25" s="1777"/>
    </row>
    <row r="26" spans="2:9" ht="18.75" customHeight="1" thickTop="1" x14ac:dyDescent="0.25">
      <c r="B26" s="1777"/>
      <c r="C26" s="1778" t="s">
        <v>549</v>
      </c>
      <c r="D26" s="1780" t="s">
        <v>550</v>
      </c>
      <c r="E26" s="1780" t="s">
        <v>551</v>
      </c>
      <c r="F26" s="1780"/>
      <c r="G26" s="1780"/>
      <c r="H26" s="1782" t="s">
        <v>552</v>
      </c>
      <c r="I26" s="1777"/>
    </row>
    <row r="27" spans="2:9" ht="30.75" thickBot="1" x14ac:dyDescent="0.3">
      <c r="B27" s="1777"/>
      <c r="C27" s="1779"/>
      <c r="D27" s="1781"/>
      <c r="E27" s="1147" t="s">
        <v>553</v>
      </c>
      <c r="F27" s="1148" t="s">
        <v>554</v>
      </c>
      <c r="G27" s="1148" t="s">
        <v>555</v>
      </c>
      <c r="H27" s="1783"/>
      <c r="I27" s="1777"/>
    </row>
    <row r="28" spans="2:9" ht="20.25" customHeight="1" thickTop="1" x14ac:dyDescent="0.25">
      <c r="B28" s="1777"/>
      <c r="C28" s="1149">
        <v>1</v>
      </c>
      <c r="D28" s="1150" t="s">
        <v>556</v>
      </c>
      <c r="E28" s="1151">
        <v>3</v>
      </c>
      <c r="F28" s="1151">
        <v>3.2</v>
      </c>
      <c r="G28" s="1151">
        <f>E28+F28</f>
        <v>6.2</v>
      </c>
      <c r="H28" s="1152"/>
      <c r="I28" s="1777"/>
    </row>
    <row r="29" spans="2:9" ht="20.25" customHeight="1" x14ac:dyDescent="0.25">
      <c r="B29" s="1777"/>
      <c r="C29" s="1154">
        <v>2</v>
      </c>
      <c r="D29" s="1155" t="s">
        <v>557</v>
      </c>
      <c r="E29" s="1156">
        <v>7.5</v>
      </c>
      <c r="F29" s="1156">
        <v>6</v>
      </c>
      <c r="G29" s="1156">
        <f t="shared" ref="G29:G34" si="1">E29+F29</f>
        <v>13.5</v>
      </c>
      <c r="H29" s="1157" t="s">
        <v>558</v>
      </c>
      <c r="I29" s="1777"/>
    </row>
    <row r="30" spans="2:9" ht="20.25" customHeight="1" x14ac:dyDescent="0.25">
      <c r="B30" s="1777"/>
      <c r="C30" s="1154">
        <v>3</v>
      </c>
      <c r="D30" s="1155" t="s">
        <v>559</v>
      </c>
      <c r="E30" s="1156">
        <v>1.5</v>
      </c>
      <c r="F30" s="1156">
        <v>3</v>
      </c>
      <c r="G30" s="1156">
        <f t="shared" si="1"/>
        <v>4.5</v>
      </c>
      <c r="H30" s="1157" t="s">
        <v>560</v>
      </c>
      <c r="I30" s="1777"/>
    </row>
    <row r="31" spans="2:9" ht="20.25" customHeight="1" x14ac:dyDescent="0.25">
      <c r="B31" s="1777"/>
      <c r="C31" s="1154">
        <v>4</v>
      </c>
      <c r="D31" s="1155" t="s">
        <v>561</v>
      </c>
      <c r="E31" s="1156">
        <v>5</v>
      </c>
      <c r="F31" s="1156">
        <v>0.5</v>
      </c>
      <c r="G31" s="1156">
        <f t="shared" si="1"/>
        <v>5.5</v>
      </c>
      <c r="H31" s="1157" t="s">
        <v>562</v>
      </c>
      <c r="I31" s="1777"/>
    </row>
    <row r="32" spans="2:9" ht="20.25" customHeight="1" x14ac:dyDescent="0.25">
      <c r="B32" s="1777"/>
      <c r="C32" s="1154">
        <v>5</v>
      </c>
      <c r="D32" s="1155" t="s">
        <v>227</v>
      </c>
      <c r="E32" s="1156">
        <v>11</v>
      </c>
      <c r="F32" s="1156">
        <v>1</v>
      </c>
      <c r="G32" s="1156">
        <f t="shared" si="1"/>
        <v>12</v>
      </c>
      <c r="H32" s="1157"/>
      <c r="I32" s="1777"/>
    </row>
    <row r="33" spans="2:9" ht="20.25" customHeight="1" x14ac:dyDescent="0.25">
      <c r="B33" s="1777"/>
      <c r="C33" s="1154">
        <v>6</v>
      </c>
      <c r="D33" s="1155" t="s">
        <v>546</v>
      </c>
      <c r="E33" s="1156">
        <v>1.35</v>
      </c>
      <c r="F33" s="1156">
        <v>1</v>
      </c>
      <c r="G33" s="1156">
        <f t="shared" ref="G33" si="2">E33+F33</f>
        <v>2.35</v>
      </c>
      <c r="H33" s="1157"/>
      <c r="I33" s="1777"/>
    </row>
    <row r="34" spans="2:9" ht="20.25" customHeight="1" x14ac:dyDescent="0.25">
      <c r="B34" s="1777"/>
      <c r="C34" s="1154">
        <v>7</v>
      </c>
      <c r="D34" s="1155" t="s">
        <v>105</v>
      </c>
      <c r="E34" s="1156">
        <v>0</v>
      </c>
      <c r="F34" s="1156">
        <v>0.3</v>
      </c>
      <c r="G34" s="1156">
        <f t="shared" si="1"/>
        <v>0.3</v>
      </c>
      <c r="H34" s="1157"/>
      <c r="I34" s="1777"/>
    </row>
    <row r="35" spans="2:9" ht="20.25" customHeight="1" thickBot="1" x14ac:dyDescent="0.3">
      <c r="B35" s="1777"/>
      <c r="C35" s="1784" t="s">
        <v>555</v>
      </c>
      <c r="D35" s="1785"/>
      <c r="E35" s="1158">
        <f>SUM(E28:E34)</f>
        <v>29.35</v>
      </c>
      <c r="F35" s="1158">
        <f>SUM(F28:F34)</f>
        <v>15</v>
      </c>
      <c r="G35" s="1158">
        <f>SUM(G28:G34)</f>
        <v>44.35</v>
      </c>
      <c r="H35" s="1159"/>
      <c r="I35" s="1777"/>
    </row>
    <row r="36" spans="2:9" ht="3" customHeight="1" thickTop="1" x14ac:dyDescent="0.25">
      <c r="B36" s="1777"/>
      <c r="C36" s="1786"/>
      <c r="D36" s="1786"/>
      <c r="E36" s="1786"/>
      <c r="F36" s="1786"/>
      <c r="G36" s="1786"/>
      <c r="H36" s="1786"/>
      <c r="I36" s="1777"/>
    </row>
  </sheetData>
  <mergeCells count="20">
    <mergeCell ref="C22:H22"/>
    <mergeCell ref="B25:I25"/>
    <mergeCell ref="B26:B36"/>
    <mergeCell ref="C26:C27"/>
    <mergeCell ref="D26:D27"/>
    <mergeCell ref="E26:G26"/>
    <mergeCell ref="H26:H27"/>
    <mergeCell ref="I26:I36"/>
    <mergeCell ref="C35:D35"/>
    <mergeCell ref="C36:H36"/>
    <mergeCell ref="C1:H1"/>
    <mergeCell ref="B4:I4"/>
    <mergeCell ref="B5:B13"/>
    <mergeCell ref="C5:C6"/>
    <mergeCell ref="D5:D6"/>
    <mergeCell ref="E5:G5"/>
    <mergeCell ref="H5:H6"/>
    <mergeCell ref="I5:I13"/>
    <mergeCell ref="C12:D12"/>
    <mergeCell ref="C13:H13"/>
  </mergeCells>
  <printOptions horizontalCentered="1"/>
  <pageMargins left="0.70866141732283472" right="0.70866141732283472" top="0.74803149606299213" bottom="0.74803149606299213" header="0.31496062992125984" footer="0.31496062992125984"/>
  <pageSetup paperSize="2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M109"/>
  <sheetViews>
    <sheetView topLeftCell="A46" zoomScale="85" zoomScaleNormal="85" zoomScaleSheetLayoutView="130" workbookViewId="0">
      <selection activeCell="N52" sqref="N52"/>
    </sheetView>
  </sheetViews>
  <sheetFormatPr defaultRowHeight="12.75" x14ac:dyDescent="0.25"/>
  <cols>
    <col min="1" max="1" width="9" style="53" customWidth="1"/>
    <col min="2" max="2" width="0.5703125" style="13" customWidth="1"/>
    <col min="3" max="3" width="6.28515625" style="427" customWidth="1"/>
    <col min="4" max="4" width="2.7109375" style="428" customWidth="1"/>
    <col min="5" max="5" width="57.7109375" style="429" customWidth="1"/>
    <col min="6" max="6" width="52" style="430" hidden="1" customWidth="1"/>
    <col min="7" max="7" width="18.42578125" style="432" customWidth="1"/>
    <col min="8" max="8" width="18.5703125" style="432" customWidth="1"/>
    <col min="9" max="9" width="19" style="432" customWidth="1"/>
    <col min="10" max="10" width="67" style="432" customWidth="1"/>
    <col min="11" max="11" width="0.7109375" style="291" customWidth="1"/>
    <col min="12" max="12" width="10.5703125" style="53" customWidth="1"/>
    <col min="13" max="13" width="15.42578125" style="53" customWidth="1"/>
    <col min="14" max="20" width="10.5703125" style="53" customWidth="1"/>
    <col min="21" max="226" width="9.140625" style="53"/>
    <col min="227" max="227" width="1.7109375" style="53" customWidth="1"/>
    <col min="228" max="229" width="4.7109375" style="53" customWidth="1"/>
    <col min="230" max="230" width="54.140625" style="53" customWidth="1"/>
    <col min="231" max="231" width="52" style="53" customWidth="1"/>
    <col min="232" max="232" width="5.28515625" style="53" customWidth="1"/>
    <col min="233" max="233" width="5.85546875" style="53" bestFit="1" customWidth="1"/>
    <col min="234" max="234" width="16.42578125" style="53" customWidth="1"/>
    <col min="235" max="235" width="4.5703125" style="53" customWidth="1"/>
    <col min="236" max="236" width="14.140625" style="53" customWidth="1"/>
    <col min="237" max="237" width="27.140625" style="53" customWidth="1"/>
    <col min="238" max="238" width="16.28515625" style="53" customWidth="1"/>
    <col min="239" max="239" width="13.85546875" style="53" customWidth="1"/>
    <col min="240" max="482" width="9.140625" style="53"/>
    <col min="483" max="483" width="1.7109375" style="53" customWidth="1"/>
    <col min="484" max="485" width="4.7109375" style="53" customWidth="1"/>
    <col min="486" max="486" width="54.140625" style="53" customWidth="1"/>
    <col min="487" max="487" width="52" style="53" customWidth="1"/>
    <col min="488" max="488" width="5.28515625" style="53" customWidth="1"/>
    <col min="489" max="489" width="5.85546875" style="53" bestFit="1" customWidth="1"/>
    <col min="490" max="490" width="16.42578125" style="53" customWidth="1"/>
    <col min="491" max="491" width="4.5703125" style="53" customWidth="1"/>
    <col min="492" max="492" width="14.140625" style="53" customWidth="1"/>
    <col min="493" max="493" width="27.140625" style="53" customWidth="1"/>
    <col min="494" max="494" width="16.28515625" style="53" customWidth="1"/>
    <col min="495" max="495" width="13.85546875" style="53" customWidth="1"/>
    <col min="496" max="738" width="9.140625" style="53"/>
    <col min="739" max="739" width="1.7109375" style="53" customWidth="1"/>
    <col min="740" max="741" width="4.7109375" style="53" customWidth="1"/>
    <col min="742" max="742" width="54.140625" style="53" customWidth="1"/>
    <col min="743" max="743" width="52" style="53" customWidth="1"/>
    <col min="744" max="744" width="5.28515625" style="53" customWidth="1"/>
    <col min="745" max="745" width="5.85546875" style="53" bestFit="1" customWidth="1"/>
    <col min="746" max="746" width="16.42578125" style="53" customWidth="1"/>
    <col min="747" max="747" width="4.5703125" style="53" customWidth="1"/>
    <col min="748" max="748" width="14.140625" style="53" customWidth="1"/>
    <col min="749" max="749" width="27.140625" style="53" customWidth="1"/>
    <col min="750" max="750" width="16.28515625" style="53" customWidth="1"/>
    <col min="751" max="751" width="13.85546875" style="53" customWidth="1"/>
    <col min="752" max="994" width="9.140625" style="53"/>
    <col min="995" max="995" width="1.7109375" style="53" customWidth="1"/>
    <col min="996" max="997" width="4.7109375" style="53" customWidth="1"/>
    <col min="998" max="998" width="54.140625" style="53" customWidth="1"/>
    <col min="999" max="999" width="52" style="53" customWidth="1"/>
    <col min="1000" max="1000" width="5.28515625" style="53" customWidth="1"/>
    <col min="1001" max="1001" width="5.85546875" style="53" bestFit="1" customWidth="1"/>
    <col min="1002" max="1002" width="16.42578125" style="53" customWidth="1"/>
    <col min="1003" max="1003" width="4.5703125" style="53" customWidth="1"/>
    <col min="1004" max="1004" width="14.140625" style="53" customWidth="1"/>
    <col min="1005" max="1005" width="27.140625" style="53" customWidth="1"/>
    <col min="1006" max="1006" width="16.28515625" style="53" customWidth="1"/>
    <col min="1007" max="1007" width="13.85546875" style="53" customWidth="1"/>
    <col min="1008" max="1250" width="9.140625" style="53"/>
    <col min="1251" max="1251" width="1.7109375" style="53" customWidth="1"/>
    <col min="1252" max="1253" width="4.7109375" style="53" customWidth="1"/>
    <col min="1254" max="1254" width="54.140625" style="53" customWidth="1"/>
    <col min="1255" max="1255" width="52" style="53" customWidth="1"/>
    <col min="1256" max="1256" width="5.28515625" style="53" customWidth="1"/>
    <col min="1257" max="1257" width="5.85546875" style="53" bestFit="1" customWidth="1"/>
    <col min="1258" max="1258" width="16.42578125" style="53" customWidth="1"/>
    <col min="1259" max="1259" width="4.5703125" style="53" customWidth="1"/>
    <col min="1260" max="1260" width="14.140625" style="53" customWidth="1"/>
    <col min="1261" max="1261" width="27.140625" style="53" customWidth="1"/>
    <col min="1262" max="1262" width="16.28515625" style="53" customWidth="1"/>
    <col min="1263" max="1263" width="13.85546875" style="53" customWidth="1"/>
    <col min="1264" max="1506" width="9.140625" style="53"/>
    <col min="1507" max="1507" width="1.7109375" style="53" customWidth="1"/>
    <col min="1508" max="1509" width="4.7109375" style="53" customWidth="1"/>
    <col min="1510" max="1510" width="54.140625" style="53" customWidth="1"/>
    <col min="1511" max="1511" width="52" style="53" customWidth="1"/>
    <col min="1512" max="1512" width="5.28515625" style="53" customWidth="1"/>
    <col min="1513" max="1513" width="5.85546875" style="53" bestFit="1" customWidth="1"/>
    <col min="1514" max="1514" width="16.42578125" style="53" customWidth="1"/>
    <col min="1515" max="1515" width="4.5703125" style="53" customWidth="1"/>
    <col min="1516" max="1516" width="14.140625" style="53" customWidth="1"/>
    <col min="1517" max="1517" width="27.140625" style="53" customWidth="1"/>
    <col min="1518" max="1518" width="16.28515625" style="53" customWidth="1"/>
    <col min="1519" max="1519" width="13.85546875" style="53" customWidth="1"/>
    <col min="1520" max="1762" width="9.140625" style="53"/>
    <col min="1763" max="1763" width="1.7109375" style="53" customWidth="1"/>
    <col min="1764" max="1765" width="4.7109375" style="53" customWidth="1"/>
    <col min="1766" max="1766" width="54.140625" style="53" customWidth="1"/>
    <col min="1767" max="1767" width="52" style="53" customWidth="1"/>
    <col min="1768" max="1768" width="5.28515625" style="53" customWidth="1"/>
    <col min="1769" max="1769" width="5.85546875" style="53" bestFit="1" customWidth="1"/>
    <col min="1770" max="1770" width="16.42578125" style="53" customWidth="1"/>
    <col min="1771" max="1771" width="4.5703125" style="53" customWidth="1"/>
    <col min="1772" max="1772" width="14.140625" style="53" customWidth="1"/>
    <col min="1773" max="1773" width="27.140625" style="53" customWidth="1"/>
    <col min="1774" max="1774" width="16.28515625" style="53" customWidth="1"/>
    <col min="1775" max="1775" width="13.85546875" style="53" customWidth="1"/>
    <col min="1776" max="2018" width="9.140625" style="53"/>
    <col min="2019" max="2019" width="1.7109375" style="53" customWidth="1"/>
    <col min="2020" max="2021" width="4.7109375" style="53" customWidth="1"/>
    <col min="2022" max="2022" width="54.140625" style="53" customWidth="1"/>
    <col min="2023" max="2023" width="52" style="53" customWidth="1"/>
    <col min="2024" max="2024" width="5.28515625" style="53" customWidth="1"/>
    <col min="2025" max="2025" width="5.85546875" style="53" bestFit="1" customWidth="1"/>
    <col min="2026" max="2026" width="16.42578125" style="53" customWidth="1"/>
    <col min="2027" max="2027" width="4.5703125" style="53" customWidth="1"/>
    <col min="2028" max="2028" width="14.140625" style="53" customWidth="1"/>
    <col min="2029" max="2029" width="27.140625" style="53" customWidth="1"/>
    <col min="2030" max="2030" width="16.28515625" style="53" customWidth="1"/>
    <col min="2031" max="2031" width="13.85546875" style="53" customWidth="1"/>
    <col min="2032" max="2274" width="9.140625" style="53"/>
    <col min="2275" max="2275" width="1.7109375" style="53" customWidth="1"/>
    <col min="2276" max="2277" width="4.7109375" style="53" customWidth="1"/>
    <col min="2278" max="2278" width="54.140625" style="53" customWidth="1"/>
    <col min="2279" max="2279" width="52" style="53" customWidth="1"/>
    <col min="2280" max="2280" width="5.28515625" style="53" customWidth="1"/>
    <col min="2281" max="2281" width="5.85546875" style="53" bestFit="1" customWidth="1"/>
    <col min="2282" max="2282" width="16.42578125" style="53" customWidth="1"/>
    <col min="2283" max="2283" width="4.5703125" style="53" customWidth="1"/>
    <col min="2284" max="2284" width="14.140625" style="53" customWidth="1"/>
    <col min="2285" max="2285" width="27.140625" style="53" customWidth="1"/>
    <col min="2286" max="2286" width="16.28515625" style="53" customWidth="1"/>
    <col min="2287" max="2287" width="13.85546875" style="53" customWidth="1"/>
    <col min="2288" max="2530" width="9.140625" style="53"/>
    <col min="2531" max="2531" width="1.7109375" style="53" customWidth="1"/>
    <col min="2532" max="2533" width="4.7109375" style="53" customWidth="1"/>
    <col min="2534" max="2534" width="54.140625" style="53" customWidth="1"/>
    <col min="2535" max="2535" width="52" style="53" customWidth="1"/>
    <col min="2536" max="2536" width="5.28515625" style="53" customWidth="1"/>
    <col min="2537" max="2537" width="5.85546875" style="53" bestFit="1" customWidth="1"/>
    <col min="2538" max="2538" width="16.42578125" style="53" customWidth="1"/>
    <col min="2539" max="2539" width="4.5703125" style="53" customWidth="1"/>
    <col min="2540" max="2540" width="14.140625" style="53" customWidth="1"/>
    <col min="2541" max="2541" width="27.140625" style="53" customWidth="1"/>
    <col min="2542" max="2542" width="16.28515625" style="53" customWidth="1"/>
    <col min="2543" max="2543" width="13.85546875" style="53" customWidth="1"/>
    <col min="2544" max="2786" width="9.140625" style="53"/>
    <col min="2787" max="2787" width="1.7109375" style="53" customWidth="1"/>
    <col min="2788" max="2789" width="4.7109375" style="53" customWidth="1"/>
    <col min="2790" max="2790" width="54.140625" style="53" customWidth="1"/>
    <col min="2791" max="2791" width="52" style="53" customWidth="1"/>
    <col min="2792" max="2792" width="5.28515625" style="53" customWidth="1"/>
    <col min="2793" max="2793" width="5.85546875" style="53" bestFit="1" customWidth="1"/>
    <col min="2794" max="2794" width="16.42578125" style="53" customWidth="1"/>
    <col min="2795" max="2795" width="4.5703125" style="53" customWidth="1"/>
    <col min="2796" max="2796" width="14.140625" style="53" customWidth="1"/>
    <col min="2797" max="2797" width="27.140625" style="53" customWidth="1"/>
    <col min="2798" max="2798" width="16.28515625" style="53" customWidth="1"/>
    <col min="2799" max="2799" width="13.85546875" style="53" customWidth="1"/>
    <col min="2800" max="3042" width="9.140625" style="53"/>
    <col min="3043" max="3043" width="1.7109375" style="53" customWidth="1"/>
    <col min="3044" max="3045" width="4.7109375" style="53" customWidth="1"/>
    <col min="3046" max="3046" width="54.140625" style="53" customWidth="1"/>
    <col min="3047" max="3047" width="52" style="53" customWidth="1"/>
    <col min="3048" max="3048" width="5.28515625" style="53" customWidth="1"/>
    <col min="3049" max="3049" width="5.85546875" style="53" bestFit="1" customWidth="1"/>
    <col min="3050" max="3050" width="16.42578125" style="53" customWidth="1"/>
    <col min="3051" max="3051" width="4.5703125" style="53" customWidth="1"/>
    <col min="3052" max="3052" width="14.140625" style="53" customWidth="1"/>
    <col min="3053" max="3053" width="27.140625" style="53" customWidth="1"/>
    <col min="3054" max="3054" width="16.28515625" style="53" customWidth="1"/>
    <col min="3055" max="3055" width="13.85546875" style="53" customWidth="1"/>
    <col min="3056" max="3298" width="9.140625" style="53"/>
    <col min="3299" max="3299" width="1.7109375" style="53" customWidth="1"/>
    <col min="3300" max="3301" width="4.7109375" style="53" customWidth="1"/>
    <col min="3302" max="3302" width="54.140625" style="53" customWidth="1"/>
    <col min="3303" max="3303" width="52" style="53" customWidth="1"/>
    <col min="3304" max="3304" width="5.28515625" style="53" customWidth="1"/>
    <col min="3305" max="3305" width="5.85546875" style="53" bestFit="1" customWidth="1"/>
    <col min="3306" max="3306" width="16.42578125" style="53" customWidth="1"/>
    <col min="3307" max="3307" width="4.5703125" style="53" customWidth="1"/>
    <col min="3308" max="3308" width="14.140625" style="53" customWidth="1"/>
    <col min="3309" max="3309" width="27.140625" style="53" customWidth="1"/>
    <col min="3310" max="3310" width="16.28515625" style="53" customWidth="1"/>
    <col min="3311" max="3311" width="13.85546875" style="53" customWidth="1"/>
    <col min="3312" max="3554" width="9.140625" style="53"/>
    <col min="3555" max="3555" width="1.7109375" style="53" customWidth="1"/>
    <col min="3556" max="3557" width="4.7109375" style="53" customWidth="1"/>
    <col min="3558" max="3558" width="54.140625" style="53" customWidth="1"/>
    <col min="3559" max="3559" width="52" style="53" customWidth="1"/>
    <col min="3560" max="3560" width="5.28515625" style="53" customWidth="1"/>
    <col min="3561" max="3561" width="5.85546875" style="53" bestFit="1" customWidth="1"/>
    <col min="3562" max="3562" width="16.42578125" style="53" customWidth="1"/>
    <col min="3563" max="3563" width="4.5703125" style="53" customWidth="1"/>
    <col min="3564" max="3564" width="14.140625" style="53" customWidth="1"/>
    <col min="3565" max="3565" width="27.140625" style="53" customWidth="1"/>
    <col min="3566" max="3566" width="16.28515625" style="53" customWidth="1"/>
    <col min="3567" max="3567" width="13.85546875" style="53" customWidth="1"/>
    <col min="3568" max="3810" width="9.140625" style="53"/>
    <col min="3811" max="3811" width="1.7109375" style="53" customWidth="1"/>
    <col min="3812" max="3813" width="4.7109375" style="53" customWidth="1"/>
    <col min="3814" max="3814" width="54.140625" style="53" customWidth="1"/>
    <col min="3815" max="3815" width="52" style="53" customWidth="1"/>
    <col min="3816" max="3816" width="5.28515625" style="53" customWidth="1"/>
    <col min="3817" max="3817" width="5.85546875" style="53" bestFit="1" customWidth="1"/>
    <col min="3818" max="3818" width="16.42578125" style="53" customWidth="1"/>
    <col min="3819" max="3819" width="4.5703125" style="53" customWidth="1"/>
    <col min="3820" max="3820" width="14.140625" style="53" customWidth="1"/>
    <col min="3821" max="3821" width="27.140625" style="53" customWidth="1"/>
    <col min="3822" max="3822" width="16.28515625" style="53" customWidth="1"/>
    <col min="3823" max="3823" width="13.85546875" style="53" customWidth="1"/>
    <col min="3824" max="4066" width="9.140625" style="53"/>
    <col min="4067" max="4067" width="1.7109375" style="53" customWidth="1"/>
    <col min="4068" max="4069" width="4.7109375" style="53" customWidth="1"/>
    <col min="4070" max="4070" width="54.140625" style="53" customWidth="1"/>
    <col min="4071" max="4071" width="52" style="53" customWidth="1"/>
    <col min="4072" max="4072" width="5.28515625" style="53" customWidth="1"/>
    <col min="4073" max="4073" width="5.85546875" style="53" bestFit="1" customWidth="1"/>
    <col min="4074" max="4074" width="16.42578125" style="53" customWidth="1"/>
    <col min="4075" max="4075" width="4.5703125" style="53" customWidth="1"/>
    <col min="4076" max="4076" width="14.140625" style="53" customWidth="1"/>
    <col min="4077" max="4077" width="27.140625" style="53" customWidth="1"/>
    <col min="4078" max="4078" width="16.28515625" style="53" customWidth="1"/>
    <col min="4079" max="4079" width="13.85546875" style="53" customWidth="1"/>
    <col min="4080" max="4322" width="9.140625" style="53"/>
    <col min="4323" max="4323" width="1.7109375" style="53" customWidth="1"/>
    <col min="4324" max="4325" width="4.7109375" style="53" customWidth="1"/>
    <col min="4326" max="4326" width="54.140625" style="53" customWidth="1"/>
    <col min="4327" max="4327" width="52" style="53" customWidth="1"/>
    <col min="4328" max="4328" width="5.28515625" style="53" customWidth="1"/>
    <col min="4329" max="4329" width="5.85546875" style="53" bestFit="1" customWidth="1"/>
    <col min="4330" max="4330" width="16.42578125" style="53" customWidth="1"/>
    <col min="4331" max="4331" width="4.5703125" style="53" customWidth="1"/>
    <col min="4332" max="4332" width="14.140625" style="53" customWidth="1"/>
    <col min="4333" max="4333" width="27.140625" style="53" customWidth="1"/>
    <col min="4334" max="4334" width="16.28515625" style="53" customWidth="1"/>
    <col min="4335" max="4335" width="13.85546875" style="53" customWidth="1"/>
    <col min="4336" max="4578" width="9.140625" style="53"/>
    <col min="4579" max="4579" width="1.7109375" style="53" customWidth="1"/>
    <col min="4580" max="4581" width="4.7109375" style="53" customWidth="1"/>
    <col min="4582" max="4582" width="54.140625" style="53" customWidth="1"/>
    <col min="4583" max="4583" width="52" style="53" customWidth="1"/>
    <col min="4584" max="4584" width="5.28515625" style="53" customWidth="1"/>
    <col min="4585" max="4585" width="5.85546875" style="53" bestFit="1" customWidth="1"/>
    <col min="4586" max="4586" width="16.42578125" style="53" customWidth="1"/>
    <col min="4587" max="4587" width="4.5703125" style="53" customWidth="1"/>
    <col min="4588" max="4588" width="14.140625" style="53" customWidth="1"/>
    <col min="4589" max="4589" width="27.140625" style="53" customWidth="1"/>
    <col min="4590" max="4590" width="16.28515625" style="53" customWidth="1"/>
    <col min="4591" max="4591" width="13.85546875" style="53" customWidth="1"/>
    <col min="4592" max="4834" width="9.140625" style="53"/>
    <col min="4835" max="4835" width="1.7109375" style="53" customWidth="1"/>
    <col min="4836" max="4837" width="4.7109375" style="53" customWidth="1"/>
    <col min="4838" max="4838" width="54.140625" style="53" customWidth="1"/>
    <col min="4839" max="4839" width="52" style="53" customWidth="1"/>
    <col min="4840" max="4840" width="5.28515625" style="53" customWidth="1"/>
    <col min="4841" max="4841" width="5.85546875" style="53" bestFit="1" customWidth="1"/>
    <col min="4842" max="4842" width="16.42578125" style="53" customWidth="1"/>
    <col min="4843" max="4843" width="4.5703125" style="53" customWidth="1"/>
    <col min="4844" max="4844" width="14.140625" style="53" customWidth="1"/>
    <col min="4845" max="4845" width="27.140625" style="53" customWidth="1"/>
    <col min="4846" max="4846" width="16.28515625" style="53" customWidth="1"/>
    <col min="4847" max="4847" width="13.85546875" style="53" customWidth="1"/>
    <col min="4848" max="5090" width="9.140625" style="53"/>
    <col min="5091" max="5091" width="1.7109375" style="53" customWidth="1"/>
    <col min="5092" max="5093" width="4.7109375" style="53" customWidth="1"/>
    <col min="5094" max="5094" width="54.140625" style="53" customWidth="1"/>
    <col min="5095" max="5095" width="52" style="53" customWidth="1"/>
    <col min="5096" max="5096" width="5.28515625" style="53" customWidth="1"/>
    <col min="5097" max="5097" width="5.85546875" style="53" bestFit="1" customWidth="1"/>
    <col min="5098" max="5098" width="16.42578125" style="53" customWidth="1"/>
    <col min="5099" max="5099" width="4.5703125" style="53" customWidth="1"/>
    <col min="5100" max="5100" width="14.140625" style="53" customWidth="1"/>
    <col min="5101" max="5101" width="27.140625" style="53" customWidth="1"/>
    <col min="5102" max="5102" width="16.28515625" style="53" customWidth="1"/>
    <col min="5103" max="5103" width="13.85546875" style="53" customWidth="1"/>
    <col min="5104" max="5346" width="9.140625" style="53"/>
    <col min="5347" max="5347" width="1.7109375" style="53" customWidth="1"/>
    <col min="5348" max="5349" width="4.7109375" style="53" customWidth="1"/>
    <col min="5350" max="5350" width="54.140625" style="53" customWidth="1"/>
    <col min="5351" max="5351" width="52" style="53" customWidth="1"/>
    <col min="5352" max="5352" width="5.28515625" style="53" customWidth="1"/>
    <col min="5353" max="5353" width="5.85546875" style="53" bestFit="1" customWidth="1"/>
    <col min="5354" max="5354" width="16.42578125" style="53" customWidth="1"/>
    <col min="5355" max="5355" width="4.5703125" style="53" customWidth="1"/>
    <col min="5356" max="5356" width="14.140625" style="53" customWidth="1"/>
    <col min="5357" max="5357" width="27.140625" style="53" customWidth="1"/>
    <col min="5358" max="5358" width="16.28515625" style="53" customWidth="1"/>
    <col min="5359" max="5359" width="13.85546875" style="53" customWidth="1"/>
    <col min="5360" max="5602" width="9.140625" style="53"/>
    <col min="5603" max="5603" width="1.7109375" style="53" customWidth="1"/>
    <col min="5604" max="5605" width="4.7109375" style="53" customWidth="1"/>
    <col min="5606" max="5606" width="54.140625" style="53" customWidth="1"/>
    <col min="5607" max="5607" width="52" style="53" customWidth="1"/>
    <col min="5608" max="5608" width="5.28515625" style="53" customWidth="1"/>
    <col min="5609" max="5609" width="5.85546875" style="53" bestFit="1" customWidth="1"/>
    <col min="5610" max="5610" width="16.42578125" style="53" customWidth="1"/>
    <col min="5611" max="5611" width="4.5703125" style="53" customWidth="1"/>
    <col min="5612" max="5612" width="14.140625" style="53" customWidth="1"/>
    <col min="5613" max="5613" width="27.140625" style="53" customWidth="1"/>
    <col min="5614" max="5614" width="16.28515625" style="53" customWidth="1"/>
    <col min="5615" max="5615" width="13.85546875" style="53" customWidth="1"/>
    <col min="5616" max="5858" width="9.140625" style="53"/>
    <col min="5859" max="5859" width="1.7109375" style="53" customWidth="1"/>
    <col min="5860" max="5861" width="4.7109375" style="53" customWidth="1"/>
    <col min="5862" max="5862" width="54.140625" style="53" customWidth="1"/>
    <col min="5863" max="5863" width="52" style="53" customWidth="1"/>
    <col min="5864" max="5864" width="5.28515625" style="53" customWidth="1"/>
    <col min="5865" max="5865" width="5.85546875" style="53" bestFit="1" customWidth="1"/>
    <col min="5866" max="5866" width="16.42578125" style="53" customWidth="1"/>
    <col min="5867" max="5867" width="4.5703125" style="53" customWidth="1"/>
    <col min="5868" max="5868" width="14.140625" style="53" customWidth="1"/>
    <col min="5869" max="5869" width="27.140625" style="53" customWidth="1"/>
    <col min="5870" max="5870" width="16.28515625" style="53" customWidth="1"/>
    <col min="5871" max="5871" width="13.85546875" style="53" customWidth="1"/>
    <col min="5872" max="6114" width="9.140625" style="53"/>
    <col min="6115" max="6115" width="1.7109375" style="53" customWidth="1"/>
    <col min="6116" max="6117" width="4.7109375" style="53" customWidth="1"/>
    <col min="6118" max="6118" width="54.140625" style="53" customWidth="1"/>
    <col min="6119" max="6119" width="52" style="53" customWidth="1"/>
    <col min="6120" max="6120" width="5.28515625" style="53" customWidth="1"/>
    <col min="6121" max="6121" width="5.85546875" style="53" bestFit="1" customWidth="1"/>
    <col min="6122" max="6122" width="16.42578125" style="53" customWidth="1"/>
    <col min="6123" max="6123" width="4.5703125" style="53" customWidth="1"/>
    <col min="6124" max="6124" width="14.140625" style="53" customWidth="1"/>
    <col min="6125" max="6125" width="27.140625" style="53" customWidth="1"/>
    <col min="6126" max="6126" width="16.28515625" style="53" customWidth="1"/>
    <col min="6127" max="6127" width="13.85546875" style="53" customWidth="1"/>
    <col min="6128" max="6370" width="9.140625" style="53"/>
    <col min="6371" max="6371" width="1.7109375" style="53" customWidth="1"/>
    <col min="6372" max="6373" width="4.7109375" style="53" customWidth="1"/>
    <col min="6374" max="6374" width="54.140625" style="53" customWidth="1"/>
    <col min="6375" max="6375" width="52" style="53" customWidth="1"/>
    <col min="6376" max="6376" width="5.28515625" style="53" customWidth="1"/>
    <col min="6377" max="6377" width="5.85546875" style="53" bestFit="1" customWidth="1"/>
    <col min="6378" max="6378" width="16.42578125" style="53" customWidth="1"/>
    <col min="6379" max="6379" width="4.5703125" style="53" customWidth="1"/>
    <col min="6380" max="6380" width="14.140625" style="53" customWidth="1"/>
    <col min="6381" max="6381" width="27.140625" style="53" customWidth="1"/>
    <col min="6382" max="6382" width="16.28515625" style="53" customWidth="1"/>
    <col min="6383" max="6383" width="13.85546875" style="53" customWidth="1"/>
    <col min="6384" max="6626" width="9.140625" style="53"/>
    <col min="6627" max="6627" width="1.7109375" style="53" customWidth="1"/>
    <col min="6628" max="6629" width="4.7109375" style="53" customWidth="1"/>
    <col min="6630" max="6630" width="54.140625" style="53" customWidth="1"/>
    <col min="6631" max="6631" width="52" style="53" customWidth="1"/>
    <col min="6632" max="6632" width="5.28515625" style="53" customWidth="1"/>
    <col min="6633" max="6633" width="5.85546875" style="53" bestFit="1" customWidth="1"/>
    <col min="6634" max="6634" width="16.42578125" style="53" customWidth="1"/>
    <col min="6635" max="6635" width="4.5703125" style="53" customWidth="1"/>
    <col min="6636" max="6636" width="14.140625" style="53" customWidth="1"/>
    <col min="6637" max="6637" width="27.140625" style="53" customWidth="1"/>
    <col min="6638" max="6638" width="16.28515625" style="53" customWidth="1"/>
    <col min="6639" max="6639" width="13.85546875" style="53" customWidth="1"/>
    <col min="6640" max="6882" width="9.140625" style="53"/>
    <col min="6883" max="6883" width="1.7109375" style="53" customWidth="1"/>
    <col min="6884" max="6885" width="4.7109375" style="53" customWidth="1"/>
    <col min="6886" max="6886" width="54.140625" style="53" customWidth="1"/>
    <col min="6887" max="6887" width="52" style="53" customWidth="1"/>
    <col min="6888" max="6888" width="5.28515625" style="53" customWidth="1"/>
    <col min="6889" max="6889" width="5.85546875" style="53" bestFit="1" customWidth="1"/>
    <col min="6890" max="6890" width="16.42578125" style="53" customWidth="1"/>
    <col min="6891" max="6891" width="4.5703125" style="53" customWidth="1"/>
    <col min="6892" max="6892" width="14.140625" style="53" customWidth="1"/>
    <col min="6893" max="6893" width="27.140625" style="53" customWidth="1"/>
    <col min="6894" max="6894" width="16.28515625" style="53" customWidth="1"/>
    <col min="6895" max="6895" width="13.85546875" style="53" customWidth="1"/>
    <col min="6896" max="7138" width="9.140625" style="53"/>
    <col min="7139" max="7139" width="1.7109375" style="53" customWidth="1"/>
    <col min="7140" max="7141" width="4.7109375" style="53" customWidth="1"/>
    <col min="7142" max="7142" width="54.140625" style="53" customWidth="1"/>
    <col min="7143" max="7143" width="52" style="53" customWidth="1"/>
    <col min="7144" max="7144" width="5.28515625" style="53" customWidth="1"/>
    <col min="7145" max="7145" width="5.85546875" style="53" bestFit="1" customWidth="1"/>
    <col min="7146" max="7146" width="16.42578125" style="53" customWidth="1"/>
    <col min="7147" max="7147" width="4.5703125" style="53" customWidth="1"/>
    <col min="7148" max="7148" width="14.140625" style="53" customWidth="1"/>
    <col min="7149" max="7149" width="27.140625" style="53" customWidth="1"/>
    <col min="7150" max="7150" width="16.28515625" style="53" customWidth="1"/>
    <col min="7151" max="7151" width="13.85546875" style="53" customWidth="1"/>
    <col min="7152" max="7394" width="9.140625" style="53"/>
    <col min="7395" max="7395" width="1.7109375" style="53" customWidth="1"/>
    <col min="7396" max="7397" width="4.7109375" style="53" customWidth="1"/>
    <col min="7398" max="7398" width="54.140625" style="53" customWidth="1"/>
    <col min="7399" max="7399" width="52" style="53" customWidth="1"/>
    <col min="7400" max="7400" width="5.28515625" style="53" customWidth="1"/>
    <col min="7401" max="7401" width="5.85546875" style="53" bestFit="1" customWidth="1"/>
    <col min="7402" max="7402" width="16.42578125" style="53" customWidth="1"/>
    <col min="7403" max="7403" width="4.5703125" style="53" customWidth="1"/>
    <col min="7404" max="7404" width="14.140625" style="53" customWidth="1"/>
    <col min="7405" max="7405" width="27.140625" style="53" customWidth="1"/>
    <col min="7406" max="7406" width="16.28515625" style="53" customWidth="1"/>
    <col min="7407" max="7407" width="13.85546875" style="53" customWidth="1"/>
    <col min="7408" max="7650" width="9.140625" style="53"/>
    <col min="7651" max="7651" width="1.7109375" style="53" customWidth="1"/>
    <col min="7652" max="7653" width="4.7109375" style="53" customWidth="1"/>
    <col min="7654" max="7654" width="54.140625" style="53" customWidth="1"/>
    <col min="7655" max="7655" width="52" style="53" customWidth="1"/>
    <col min="7656" max="7656" width="5.28515625" style="53" customWidth="1"/>
    <col min="7657" max="7657" width="5.85546875" style="53" bestFit="1" customWidth="1"/>
    <col min="7658" max="7658" width="16.42578125" style="53" customWidth="1"/>
    <col min="7659" max="7659" width="4.5703125" style="53" customWidth="1"/>
    <col min="7660" max="7660" width="14.140625" style="53" customWidth="1"/>
    <col min="7661" max="7661" width="27.140625" style="53" customWidth="1"/>
    <col min="7662" max="7662" width="16.28515625" style="53" customWidth="1"/>
    <col min="7663" max="7663" width="13.85546875" style="53" customWidth="1"/>
    <col min="7664" max="7906" width="9.140625" style="53"/>
    <col min="7907" max="7907" width="1.7109375" style="53" customWidth="1"/>
    <col min="7908" max="7909" width="4.7109375" style="53" customWidth="1"/>
    <col min="7910" max="7910" width="54.140625" style="53" customWidth="1"/>
    <col min="7911" max="7911" width="52" style="53" customWidth="1"/>
    <col min="7912" max="7912" width="5.28515625" style="53" customWidth="1"/>
    <col min="7913" max="7913" width="5.85546875" style="53" bestFit="1" customWidth="1"/>
    <col min="7914" max="7914" width="16.42578125" style="53" customWidth="1"/>
    <col min="7915" max="7915" width="4.5703125" style="53" customWidth="1"/>
    <col min="7916" max="7916" width="14.140625" style="53" customWidth="1"/>
    <col min="7917" max="7917" width="27.140625" style="53" customWidth="1"/>
    <col min="7918" max="7918" width="16.28515625" style="53" customWidth="1"/>
    <col min="7919" max="7919" width="13.85546875" style="53" customWidth="1"/>
    <col min="7920" max="8162" width="9.140625" style="53"/>
    <col min="8163" max="8163" width="1.7109375" style="53" customWidth="1"/>
    <col min="8164" max="8165" width="4.7109375" style="53" customWidth="1"/>
    <col min="8166" max="8166" width="54.140625" style="53" customWidth="1"/>
    <col min="8167" max="8167" width="52" style="53" customWidth="1"/>
    <col min="8168" max="8168" width="5.28515625" style="53" customWidth="1"/>
    <col min="8169" max="8169" width="5.85546875" style="53" bestFit="1" customWidth="1"/>
    <col min="8170" max="8170" width="16.42578125" style="53" customWidth="1"/>
    <col min="8171" max="8171" width="4.5703125" style="53" customWidth="1"/>
    <col min="8172" max="8172" width="14.140625" style="53" customWidth="1"/>
    <col min="8173" max="8173" width="27.140625" style="53" customWidth="1"/>
    <col min="8174" max="8174" width="16.28515625" style="53" customWidth="1"/>
    <col min="8175" max="8175" width="13.85546875" style="53" customWidth="1"/>
    <col min="8176" max="8418" width="9.140625" style="53"/>
    <col min="8419" max="8419" width="1.7109375" style="53" customWidth="1"/>
    <col min="8420" max="8421" width="4.7109375" style="53" customWidth="1"/>
    <col min="8422" max="8422" width="54.140625" style="53" customWidth="1"/>
    <col min="8423" max="8423" width="52" style="53" customWidth="1"/>
    <col min="8424" max="8424" width="5.28515625" style="53" customWidth="1"/>
    <col min="8425" max="8425" width="5.85546875" style="53" bestFit="1" customWidth="1"/>
    <col min="8426" max="8426" width="16.42578125" style="53" customWidth="1"/>
    <col min="8427" max="8427" width="4.5703125" style="53" customWidth="1"/>
    <col min="8428" max="8428" width="14.140625" style="53" customWidth="1"/>
    <col min="8429" max="8429" width="27.140625" style="53" customWidth="1"/>
    <col min="8430" max="8430" width="16.28515625" style="53" customWidth="1"/>
    <col min="8431" max="8431" width="13.85546875" style="53" customWidth="1"/>
    <col min="8432" max="8674" width="9.140625" style="53"/>
    <col min="8675" max="8675" width="1.7109375" style="53" customWidth="1"/>
    <col min="8676" max="8677" width="4.7109375" style="53" customWidth="1"/>
    <col min="8678" max="8678" width="54.140625" style="53" customWidth="1"/>
    <col min="8679" max="8679" width="52" style="53" customWidth="1"/>
    <col min="8680" max="8680" width="5.28515625" style="53" customWidth="1"/>
    <col min="8681" max="8681" width="5.85546875" style="53" bestFit="1" customWidth="1"/>
    <col min="8682" max="8682" width="16.42578125" style="53" customWidth="1"/>
    <col min="8683" max="8683" width="4.5703125" style="53" customWidth="1"/>
    <col min="8684" max="8684" width="14.140625" style="53" customWidth="1"/>
    <col min="8685" max="8685" width="27.140625" style="53" customWidth="1"/>
    <col min="8686" max="8686" width="16.28515625" style="53" customWidth="1"/>
    <col min="8687" max="8687" width="13.85546875" style="53" customWidth="1"/>
    <col min="8688" max="8930" width="9.140625" style="53"/>
    <col min="8931" max="8931" width="1.7109375" style="53" customWidth="1"/>
    <col min="8932" max="8933" width="4.7109375" style="53" customWidth="1"/>
    <col min="8934" max="8934" width="54.140625" style="53" customWidth="1"/>
    <col min="8935" max="8935" width="52" style="53" customWidth="1"/>
    <col min="8936" max="8936" width="5.28515625" style="53" customWidth="1"/>
    <col min="8937" max="8937" width="5.85546875" style="53" bestFit="1" customWidth="1"/>
    <col min="8938" max="8938" width="16.42578125" style="53" customWidth="1"/>
    <col min="8939" max="8939" width="4.5703125" style="53" customWidth="1"/>
    <col min="8940" max="8940" width="14.140625" style="53" customWidth="1"/>
    <col min="8941" max="8941" width="27.140625" style="53" customWidth="1"/>
    <col min="8942" max="8942" width="16.28515625" style="53" customWidth="1"/>
    <col min="8943" max="8943" width="13.85546875" style="53" customWidth="1"/>
    <col min="8944" max="9186" width="9.140625" style="53"/>
    <col min="9187" max="9187" width="1.7109375" style="53" customWidth="1"/>
    <col min="9188" max="9189" width="4.7109375" style="53" customWidth="1"/>
    <col min="9190" max="9190" width="54.140625" style="53" customWidth="1"/>
    <col min="9191" max="9191" width="52" style="53" customWidth="1"/>
    <col min="9192" max="9192" width="5.28515625" style="53" customWidth="1"/>
    <col min="9193" max="9193" width="5.85546875" style="53" bestFit="1" customWidth="1"/>
    <col min="9194" max="9194" width="16.42578125" style="53" customWidth="1"/>
    <col min="9195" max="9195" width="4.5703125" style="53" customWidth="1"/>
    <col min="9196" max="9196" width="14.140625" style="53" customWidth="1"/>
    <col min="9197" max="9197" width="27.140625" style="53" customWidth="1"/>
    <col min="9198" max="9198" width="16.28515625" style="53" customWidth="1"/>
    <col min="9199" max="9199" width="13.85546875" style="53" customWidth="1"/>
    <col min="9200" max="9442" width="9.140625" style="53"/>
    <col min="9443" max="9443" width="1.7109375" style="53" customWidth="1"/>
    <col min="9444" max="9445" width="4.7109375" style="53" customWidth="1"/>
    <col min="9446" max="9446" width="54.140625" style="53" customWidth="1"/>
    <col min="9447" max="9447" width="52" style="53" customWidth="1"/>
    <col min="9448" max="9448" width="5.28515625" style="53" customWidth="1"/>
    <col min="9449" max="9449" width="5.85546875" style="53" bestFit="1" customWidth="1"/>
    <col min="9450" max="9450" width="16.42578125" style="53" customWidth="1"/>
    <col min="9451" max="9451" width="4.5703125" style="53" customWidth="1"/>
    <col min="9452" max="9452" width="14.140625" style="53" customWidth="1"/>
    <col min="9453" max="9453" width="27.140625" style="53" customWidth="1"/>
    <col min="9454" max="9454" width="16.28515625" style="53" customWidth="1"/>
    <col min="9455" max="9455" width="13.85546875" style="53" customWidth="1"/>
    <col min="9456" max="9698" width="9.140625" style="53"/>
    <col min="9699" max="9699" width="1.7109375" style="53" customWidth="1"/>
    <col min="9700" max="9701" width="4.7109375" style="53" customWidth="1"/>
    <col min="9702" max="9702" width="54.140625" style="53" customWidth="1"/>
    <col min="9703" max="9703" width="52" style="53" customWidth="1"/>
    <col min="9704" max="9704" width="5.28515625" style="53" customWidth="1"/>
    <col min="9705" max="9705" width="5.85546875" style="53" bestFit="1" customWidth="1"/>
    <col min="9706" max="9706" width="16.42578125" style="53" customWidth="1"/>
    <col min="9707" max="9707" width="4.5703125" style="53" customWidth="1"/>
    <col min="9708" max="9708" width="14.140625" style="53" customWidth="1"/>
    <col min="9709" max="9709" width="27.140625" style="53" customWidth="1"/>
    <col min="9710" max="9710" width="16.28515625" style="53" customWidth="1"/>
    <col min="9711" max="9711" width="13.85546875" style="53" customWidth="1"/>
    <col min="9712" max="9954" width="9.140625" style="53"/>
    <col min="9955" max="9955" width="1.7109375" style="53" customWidth="1"/>
    <col min="9956" max="9957" width="4.7109375" style="53" customWidth="1"/>
    <col min="9958" max="9958" width="54.140625" style="53" customWidth="1"/>
    <col min="9959" max="9959" width="52" style="53" customWidth="1"/>
    <col min="9960" max="9960" width="5.28515625" style="53" customWidth="1"/>
    <col min="9961" max="9961" width="5.85546875" style="53" bestFit="1" customWidth="1"/>
    <col min="9962" max="9962" width="16.42578125" style="53" customWidth="1"/>
    <col min="9963" max="9963" width="4.5703125" style="53" customWidth="1"/>
    <col min="9964" max="9964" width="14.140625" style="53" customWidth="1"/>
    <col min="9965" max="9965" width="27.140625" style="53" customWidth="1"/>
    <col min="9966" max="9966" width="16.28515625" style="53" customWidth="1"/>
    <col min="9967" max="9967" width="13.85546875" style="53" customWidth="1"/>
    <col min="9968" max="10210" width="9.140625" style="53"/>
    <col min="10211" max="10211" width="1.7109375" style="53" customWidth="1"/>
    <col min="10212" max="10213" width="4.7109375" style="53" customWidth="1"/>
    <col min="10214" max="10214" width="54.140625" style="53" customWidth="1"/>
    <col min="10215" max="10215" width="52" style="53" customWidth="1"/>
    <col min="10216" max="10216" width="5.28515625" style="53" customWidth="1"/>
    <col min="10217" max="10217" width="5.85546875" style="53" bestFit="1" customWidth="1"/>
    <col min="10218" max="10218" width="16.42578125" style="53" customWidth="1"/>
    <col min="10219" max="10219" width="4.5703125" style="53" customWidth="1"/>
    <col min="10220" max="10220" width="14.140625" style="53" customWidth="1"/>
    <col min="10221" max="10221" width="27.140625" style="53" customWidth="1"/>
    <col min="10222" max="10222" width="16.28515625" style="53" customWidth="1"/>
    <col min="10223" max="10223" width="13.85546875" style="53" customWidth="1"/>
    <col min="10224" max="10466" width="9.140625" style="53"/>
    <col min="10467" max="10467" width="1.7109375" style="53" customWidth="1"/>
    <col min="10468" max="10469" width="4.7109375" style="53" customWidth="1"/>
    <col min="10470" max="10470" width="54.140625" style="53" customWidth="1"/>
    <col min="10471" max="10471" width="52" style="53" customWidth="1"/>
    <col min="10472" max="10472" width="5.28515625" style="53" customWidth="1"/>
    <col min="10473" max="10473" width="5.85546875" style="53" bestFit="1" customWidth="1"/>
    <col min="10474" max="10474" width="16.42578125" style="53" customWidth="1"/>
    <col min="10475" max="10475" width="4.5703125" style="53" customWidth="1"/>
    <col min="10476" max="10476" width="14.140625" style="53" customWidth="1"/>
    <col min="10477" max="10477" width="27.140625" style="53" customWidth="1"/>
    <col min="10478" max="10478" width="16.28515625" style="53" customWidth="1"/>
    <col min="10479" max="10479" width="13.85546875" style="53" customWidth="1"/>
    <col min="10480" max="10722" width="9.140625" style="53"/>
    <col min="10723" max="10723" width="1.7109375" style="53" customWidth="1"/>
    <col min="10724" max="10725" width="4.7109375" style="53" customWidth="1"/>
    <col min="10726" max="10726" width="54.140625" style="53" customWidth="1"/>
    <col min="10727" max="10727" width="52" style="53" customWidth="1"/>
    <col min="10728" max="10728" width="5.28515625" style="53" customWidth="1"/>
    <col min="10729" max="10729" width="5.85546875" style="53" bestFit="1" customWidth="1"/>
    <col min="10730" max="10730" width="16.42578125" style="53" customWidth="1"/>
    <col min="10731" max="10731" width="4.5703125" style="53" customWidth="1"/>
    <col min="10732" max="10732" width="14.140625" style="53" customWidth="1"/>
    <col min="10733" max="10733" width="27.140625" style="53" customWidth="1"/>
    <col min="10734" max="10734" width="16.28515625" style="53" customWidth="1"/>
    <col min="10735" max="10735" width="13.85546875" style="53" customWidth="1"/>
    <col min="10736" max="10978" width="9.140625" style="53"/>
    <col min="10979" max="10979" width="1.7109375" style="53" customWidth="1"/>
    <col min="10980" max="10981" width="4.7109375" style="53" customWidth="1"/>
    <col min="10982" max="10982" width="54.140625" style="53" customWidth="1"/>
    <col min="10983" max="10983" width="52" style="53" customWidth="1"/>
    <col min="10984" max="10984" width="5.28515625" style="53" customWidth="1"/>
    <col min="10985" max="10985" width="5.85546875" style="53" bestFit="1" customWidth="1"/>
    <col min="10986" max="10986" width="16.42578125" style="53" customWidth="1"/>
    <col min="10987" max="10987" width="4.5703125" style="53" customWidth="1"/>
    <col min="10988" max="10988" width="14.140625" style="53" customWidth="1"/>
    <col min="10989" max="10989" width="27.140625" style="53" customWidth="1"/>
    <col min="10990" max="10990" width="16.28515625" style="53" customWidth="1"/>
    <col min="10991" max="10991" width="13.85546875" style="53" customWidth="1"/>
    <col min="10992" max="11234" width="9.140625" style="53"/>
    <col min="11235" max="11235" width="1.7109375" style="53" customWidth="1"/>
    <col min="11236" max="11237" width="4.7109375" style="53" customWidth="1"/>
    <col min="11238" max="11238" width="54.140625" style="53" customWidth="1"/>
    <col min="11239" max="11239" width="52" style="53" customWidth="1"/>
    <col min="11240" max="11240" width="5.28515625" style="53" customWidth="1"/>
    <col min="11241" max="11241" width="5.85546875" style="53" bestFit="1" customWidth="1"/>
    <col min="11242" max="11242" width="16.42578125" style="53" customWidth="1"/>
    <col min="11243" max="11243" width="4.5703125" style="53" customWidth="1"/>
    <col min="11244" max="11244" width="14.140625" style="53" customWidth="1"/>
    <col min="11245" max="11245" width="27.140625" style="53" customWidth="1"/>
    <col min="11246" max="11246" width="16.28515625" style="53" customWidth="1"/>
    <col min="11247" max="11247" width="13.85546875" style="53" customWidth="1"/>
    <col min="11248" max="11490" width="9.140625" style="53"/>
    <col min="11491" max="11491" width="1.7109375" style="53" customWidth="1"/>
    <col min="11492" max="11493" width="4.7109375" style="53" customWidth="1"/>
    <col min="11494" max="11494" width="54.140625" style="53" customWidth="1"/>
    <col min="11495" max="11495" width="52" style="53" customWidth="1"/>
    <col min="11496" max="11496" width="5.28515625" style="53" customWidth="1"/>
    <col min="11497" max="11497" width="5.85546875" style="53" bestFit="1" customWidth="1"/>
    <col min="11498" max="11498" width="16.42578125" style="53" customWidth="1"/>
    <col min="11499" max="11499" width="4.5703125" style="53" customWidth="1"/>
    <col min="11500" max="11500" width="14.140625" style="53" customWidth="1"/>
    <col min="11501" max="11501" width="27.140625" style="53" customWidth="1"/>
    <col min="11502" max="11502" width="16.28515625" style="53" customWidth="1"/>
    <col min="11503" max="11503" width="13.85546875" style="53" customWidth="1"/>
    <col min="11504" max="11746" width="9.140625" style="53"/>
    <col min="11747" max="11747" width="1.7109375" style="53" customWidth="1"/>
    <col min="11748" max="11749" width="4.7109375" style="53" customWidth="1"/>
    <col min="11750" max="11750" width="54.140625" style="53" customWidth="1"/>
    <col min="11751" max="11751" width="52" style="53" customWidth="1"/>
    <col min="11752" max="11752" width="5.28515625" style="53" customWidth="1"/>
    <col min="11753" max="11753" width="5.85546875" style="53" bestFit="1" customWidth="1"/>
    <col min="11754" max="11754" width="16.42578125" style="53" customWidth="1"/>
    <col min="11755" max="11755" width="4.5703125" style="53" customWidth="1"/>
    <col min="11756" max="11756" width="14.140625" style="53" customWidth="1"/>
    <col min="11757" max="11757" width="27.140625" style="53" customWidth="1"/>
    <col min="11758" max="11758" width="16.28515625" style="53" customWidth="1"/>
    <col min="11759" max="11759" width="13.85546875" style="53" customWidth="1"/>
    <col min="11760" max="12002" width="9.140625" style="53"/>
    <col min="12003" max="12003" width="1.7109375" style="53" customWidth="1"/>
    <col min="12004" max="12005" width="4.7109375" style="53" customWidth="1"/>
    <col min="12006" max="12006" width="54.140625" style="53" customWidth="1"/>
    <col min="12007" max="12007" width="52" style="53" customWidth="1"/>
    <col min="12008" max="12008" width="5.28515625" style="53" customWidth="1"/>
    <col min="12009" max="12009" width="5.85546875" style="53" bestFit="1" customWidth="1"/>
    <col min="12010" max="12010" width="16.42578125" style="53" customWidth="1"/>
    <col min="12011" max="12011" width="4.5703125" style="53" customWidth="1"/>
    <col min="12012" max="12012" width="14.140625" style="53" customWidth="1"/>
    <col min="12013" max="12013" width="27.140625" style="53" customWidth="1"/>
    <col min="12014" max="12014" width="16.28515625" style="53" customWidth="1"/>
    <col min="12015" max="12015" width="13.85546875" style="53" customWidth="1"/>
    <col min="12016" max="12258" width="9.140625" style="53"/>
    <col min="12259" max="12259" width="1.7109375" style="53" customWidth="1"/>
    <col min="12260" max="12261" width="4.7109375" style="53" customWidth="1"/>
    <col min="12262" max="12262" width="54.140625" style="53" customWidth="1"/>
    <col min="12263" max="12263" width="52" style="53" customWidth="1"/>
    <col min="12264" max="12264" width="5.28515625" style="53" customWidth="1"/>
    <col min="12265" max="12265" width="5.85546875" style="53" bestFit="1" customWidth="1"/>
    <col min="12266" max="12266" width="16.42578125" style="53" customWidth="1"/>
    <col min="12267" max="12267" width="4.5703125" style="53" customWidth="1"/>
    <col min="12268" max="12268" width="14.140625" style="53" customWidth="1"/>
    <col min="12269" max="12269" width="27.140625" style="53" customWidth="1"/>
    <col min="12270" max="12270" width="16.28515625" style="53" customWidth="1"/>
    <col min="12271" max="12271" width="13.85546875" style="53" customWidth="1"/>
    <col min="12272" max="12514" width="9.140625" style="53"/>
    <col min="12515" max="12515" width="1.7109375" style="53" customWidth="1"/>
    <col min="12516" max="12517" width="4.7109375" style="53" customWidth="1"/>
    <col min="12518" max="12518" width="54.140625" style="53" customWidth="1"/>
    <col min="12519" max="12519" width="52" style="53" customWidth="1"/>
    <col min="12520" max="12520" width="5.28515625" style="53" customWidth="1"/>
    <col min="12521" max="12521" width="5.85546875" style="53" bestFit="1" customWidth="1"/>
    <col min="12522" max="12522" width="16.42578125" style="53" customWidth="1"/>
    <col min="12523" max="12523" width="4.5703125" style="53" customWidth="1"/>
    <col min="12524" max="12524" width="14.140625" style="53" customWidth="1"/>
    <col min="12525" max="12525" width="27.140625" style="53" customWidth="1"/>
    <col min="12526" max="12526" width="16.28515625" style="53" customWidth="1"/>
    <col min="12527" max="12527" width="13.85546875" style="53" customWidth="1"/>
    <col min="12528" max="12770" width="9.140625" style="53"/>
    <col min="12771" max="12771" width="1.7109375" style="53" customWidth="1"/>
    <col min="12772" max="12773" width="4.7109375" style="53" customWidth="1"/>
    <col min="12774" max="12774" width="54.140625" style="53" customWidth="1"/>
    <col min="12775" max="12775" width="52" style="53" customWidth="1"/>
    <col min="12776" max="12776" width="5.28515625" style="53" customWidth="1"/>
    <col min="12777" max="12777" width="5.85546875" style="53" bestFit="1" customWidth="1"/>
    <col min="12778" max="12778" width="16.42578125" style="53" customWidth="1"/>
    <col min="12779" max="12779" width="4.5703125" style="53" customWidth="1"/>
    <col min="12780" max="12780" width="14.140625" style="53" customWidth="1"/>
    <col min="12781" max="12781" width="27.140625" style="53" customWidth="1"/>
    <col min="12782" max="12782" width="16.28515625" style="53" customWidth="1"/>
    <col min="12783" max="12783" width="13.85546875" style="53" customWidth="1"/>
    <col min="12784" max="13026" width="9.140625" style="53"/>
    <col min="13027" max="13027" width="1.7109375" style="53" customWidth="1"/>
    <col min="13028" max="13029" width="4.7109375" style="53" customWidth="1"/>
    <col min="13030" max="13030" width="54.140625" style="53" customWidth="1"/>
    <col min="13031" max="13031" width="52" style="53" customWidth="1"/>
    <col min="13032" max="13032" width="5.28515625" style="53" customWidth="1"/>
    <col min="13033" max="13033" width="5.85546875" style="53" bestFit="1" customWidth="1"/>
    <col min="13034" max="13034" width="16.42578125" style="53" customWidth="1"/>
    <col min="13035" max="13035" width="4.5703125" style="53" customWidth="1"/>
    <col min="13036" max="13036" width="14.140625" style="53" customWidth="1"/>
    <col min="13037" max="13037" width="27.140625" style="53" customWidth="1"/>
    <col min="13038" max="13038" width="16.28515625" style="53" customWidth="1"/>
    <col min="13039" max="13039" width="13.85546875" style="53" customWidth="1"/>
    <col min="13040" max="13282" width="9.140625" style="53"/>
    <col min="13283" max="13283" width="1.7109375" style="53" customWidth="1"/>
    <col min="13284" max="13285" width="4.7109375" style="53" customWidth="1"/>
    <col min="13286" max="13286" width="54.140625" style="53" customWidth="1"/>
    <col min="13287" max="13287" width="52" style="53" customWidth="1"/>
    <col min="13288" max="13288" width="5.28515625" style="53" customWidth="1"/>
    <col min="13289" max="13289" width="5.85546875" style="53" bestFit="1" customWidth="1"/>
    <col min="13290" max="13290" width="16.42578125" style="53" customWidth="1"/>
    <col min="13291" max="13291" width="4.5703125" style="53" customWidth="1"/>
    <col min="13292" max="13292" width="14.140625" style="53" customWidth="1"/>
    <col min="13293" max="13293" width="27.140625" style="53" customWidth="1"/>
    <col min="13294" max="13294" width="16.28515625" style="53" customWidth="1"/>
    <col min="13295" max="13295" width="13.85546875" style="53" customWidth="1"/>
    <col min="13296" max="13538" width="9.140625" style="53"/>
    <col min="13539" max="13539" width="1.7109375" style="53" customWidth="1"/>
    <col min="13540" max="13541" width="4.7109375" style="53" customWidth="1"/>
    <col min="13542" max="13542" width="54.140625" style="53" customWidth="1"/>
    <col min="13543" max="13543" width="52" style="53" customWidth="1"/>
    <col min="13544" max="13544" width="5.28515625" style="53" customWidth="1"/>
    <col min="13545" max="13545" width="5.85546875" style="53" bestFit="1" customWidth="1"/>
    <col min="13546" max="13546" width="16.42578125" style="53" customWidth="1"/>
    <col min="13547" max="13547" width="4.5703125" style="53" customWidth="1"/>
    <col min="13548" max="13548" width="14.140625" style="53" customWidth="1"/>
    <col min="13549" max="13549" width="27.140625" style="53" customWidth="1"/>
    <col min="13550" max="13550" width="16.28515625" style="53" customWidth="1"/>
    <col min="13551" max="13551" width="13.85546875" style="53" customWidth="1"/>
    <col min="13552" max="13794" width="9.140625" style="53"/>
    <col min="13795" max="13795" width="1.7109375" style="53" customWidth="1"/>
    <col min="13796" max="13797" width="4.7109375" style="53" customWidth="1"/>
    <col min="13798" max="13798" width="54.140625" style="53" customWidth="1"/>
    <col min="13799" max="13799" width="52" style="53" customWidth="1"/>
    <col min="13800" max="13800" width="5.28515625" style="53" customWidth="1"/>
    <col min="13801" max="13801" width="5.85546875" style="53" bestFit="1" customWidth="1"/>
    <col min="13802" max="13802" width="16.42578125" style="53" customWidth="1"/>
    <col min="13803" max="13803" width="4.5703125" style="53" customWidth="1"/>
    <col min="13804" max="13804" width="14.140625" style="53" customWidth="1"/>
    <col min="13805" max="13805" width="27.140625" style="53" customWidth="1"/>
    <col min="13806" max="13806" width="16.28515625" style="53" customWidth="1"/>
    <col min="13807" max="13807" width="13.85546875" style="53" customWidth="1"/>
    <col min="13808" max="14050" width="9.140625" style="53"/>
    <col min="14051" max="14051" width="1.7109375" style="53" customWidth="1"/>
    <col min="14052" max="14053" width="4.7109375" style="53" customWidth="1"/>
    <col min="14054" max="14054" width="54.140625" style="53" customWidth="1"/>
    <col min="14055" max="14055" width="52" style="53" customWidth="1"/>
    <col min="14056" max="14056" width="5.28515625" style="53" customWidth="1"/>
    <col min="14057" max="14057" width="5.85546875" style="53" bestFit="1" customWidth="1"/>
    <col min="14058" max="14058" width="16.42578125" style="53" customWidth="1"/>
    <col min="14059" max="14059" width="4.5703125" style="53" customWidth="1"/>
    <col min="14060" max="14060" width="14.140625" style="53" customWidth="1"/>
    <col min="14061" max="14061" width="27.140625" style="53" customWidth="1"/>
    <col min="14062" max="14062" width="16.28515625" style="53" customWidth="1"/>
    <col min="14063" max="14063" width="13.85546875" style="53" customWidth="1"/>
    <col min="14064" max="14306" width="9.140625" style="53"/>
    <col min="14307" max="14307" width="1.7109375" style="53" customWidth="1"/>
    <col min="14308" max="14309" width="4.7109375" style="53" customWidth="1"/>
    <col min="14310" max="14310" width="54.140625" style="53" customWidth="1"/>
    <col min="14311" max="14311" width="52" style="53" customWidth="1"/>
    <col min="14312" max="14312" width="5.28515625" style="53" customWidth="1"/>
    <col min="14313" max="14313" width="5.85546875" style="53" bestFit="1" customWidth="1"/>
    <col min="14314" max="14314" width="16.42578125" style="53" customWidth="1"/>
    <col min="14315" max="14315" width="4.5703125" style="53" customWidth="1"/>
    <col min="14316" max="14316" width="14.140625" style="53" customWidth="1"/>
    <col min="14317" max="14317" width="27.140625" style="53" customWidth="1"/>
    <col min="14318" max="14318" width="16.28515625" style="53" customWidth="1"/>
    <col min="14319" max="14319" width="13.85546875" style="53" customWidth="1"/>
    <col min="14320" max="14562" width="9.140625" style="53"/>
    <col min="14563" max="14563" width="1.7109375" style="53" customWidth="1"/>
    <col min="14564" max="14565" width="4.7109375" style="53" customWidth="1"/>
    <col min="14566" max="14566" width="54.140625" style="53" customWidth="1"/>
    <col min="14567" max="14567" width="52" style="53" customWidth="1"/>
    <col min="14568" max="14568" width="5.28515625" style="53" customWidth="1"/>
    <col min="14569" max="14569" width="5.85546875" style="53" bestFit="1" customWidth="1"/>
    <col min="14570" max="14570" width="16.42578125" style="53" customWidth="1"/>
    <col min="14571" max="14571" width="4.5703125" style="53" customWidth="1"/>
    <col min="14572" max="14572" width="14.140625" style="53" customWidth="1"/>
    <col min="14573" max="14573" width="27.140625" style="53" customWidth="1"/>
    <col min="14574" max="14574" width="16.28515625" style="53" customWidth="1"/>
    <col min="14575" max="14575" width="13.85546875" style="53" customWidth="1"/>
    <col min="14576" max="14818" width="9.140625" style="53"/>
    <col min="14819" max="14819" width="1.7109375" style="53" customWidth="1"/>
    <col min="14820" max="14821" width="4.7109375" style="53" customWidth="1"/>
    <col min="14822" max="14822" width="54.140625" style="53" customWidth="1"/>
    <col min="14823" max="14823" width="52" style="53" customWidth="1"/>
    <col min="14824" max="14824" width="5.28515625" style="53" customWidth="1"/>
    <col min="14825" max="14825" width="5.85546875" style="53" bestFit="1" customWidth="1"/>
    <col min="14826" max="14826" width="16.42578125" style="53" customWidth="1"/>
    <col min="14827" max="14827" width="4.5703125" style="53" customWidth="1"/>
    <col min="14828" max="14828" width="14.140625" style="53" customWidth="1"/>
    <col min="14829" max="14829" width="27.140625" style="53" customWidth="1"/>
    <col min="14830" max="14830" width="16.28515625" style="53" customWidth="1"/>
    <col min="14831" max="14831" width="13.85546875" style="53" customWidth="1"/>
    <col min="14832" max="15074" width="9.140625" style="53"/>
    <col min="15075" max="15075" width="1.7109375" style="53" customWidth="1"/>
    <col min="15076" max="15077" width="4.7109375" style="53" customWidth="1"/>
    <col min="15078" max="15078" width="54.140625" style="53" customWidth="1"/>
    <col min="15079" max="15079" width="52" style="53" customWidth="1"/>
    <col min="15080" max="15080" width="5.28515625" style="53" customWidth="1"/>
    <col min="15081" max="15081" width="5.85546875" style="53" bestFit="1" customWidth="1"/>
    <col min="15082" max="15082" width="16.42578125" style="53" customWidth="1"/>
    <col min="15083" max="15083" width="4.5703125" style="53" customWidth="1"/>
    <col min="15084" max="15084" width="14.140625" style="53" customWidth="1"/>
    <col min="15085" max="15085" width="27.140625" style="53" customWidth="1"/>
    <col min="15086" max="15086" width="16.28515625" style="53" customWidth="1"/>
    <col min="15087" max="15087" width="13.85546875" style="53" customWidth="1"/>
    <col min="15088" max="15330" width="9.140625" style="53"/>
    <col min="15331" max="15331" width="1.7109375" style="53" customWidth="1"/>
    <col min="15332" max="15333" width="4.7109375" style="53" customWidth="1"/>
    <col min="15334" max="15334" width="54.140625" style="53" customWidth="1"/>
    <col min="15335" max="15335" width="52" style="53" customWidth="1"/>
    <col min="15336" max="15336" width="5.28515625" style="53" customWidth="1"/>
    <col min="15337" max="15337" width="5.85546875" style="53" bestFit="1" customWidth="1"/>
    <col min="15338" max="15338" width="16.42578125" style="53" customWidth="1"/>
    <col min="15339" max="15339" width="4.5703125" style="53" customWidth="1"/>
    <col min="15340" max="15340" width="14.140625" style="53" customWidth="1"/>
    <col min="15341" max="15341" width="27.140625" style="53" customWidth="1"/>
    <col min="15342" max="15342" width="16.28515625" style="53" customWidth="1"/>
    <col min="15343" max="15343" width="13.85546875" style="53" customWidth="1"/>
    <col min="15344" max="15586" width="9.140625" style="53"/>
    <col min="15587" max="15587" width="1.7109375" style="53" customWidth="1"/>
    <col min="15588" max="15589" width="4.7109375" style="53" customWidth="1"/>
    <col min="15590" max="15590" width="54.140625" style="53" customWidth="1"/>
    <col min="15591" max="15591" width="52" style="53" customWidth="1"/>
    <col min="15592" max="15592" width="5.28515625" style="53" customWidth="1"/>
    <col min="15593" max="15593" width="5.85546875" style="53" bestFit="1" customWidth="1"/>
    <col min="15594" max="15594" width="16.42578125" style="53" customWidth="1"/>
    <col min="15595" max="15595" width="4.5703125" style="53" customWidth="1"/>
    <col min="15596" max="15596" width="14.140625" style="53" customWidth="1"/>
    <col min="15597" max="15597" width="27.140625" style="53" customWidth="1"/>
    <col min="15598" max="15598" width="16.28515625" style="53" customWidth="1"/>
    <col min="15599" max="15599" width="13.85546875" style="53" customWidth="1"/>
    <col min="15600" max="15842" width="9.140625" style="53"/>
    <col min="15843" max="15843" width="1.7109375" style="53" customWidth="1"/>
    <col min="15844" max="15845" width="4.7109375" style="53" customWidth="1"/>
    <col min="15846" max="15846" width="54.140625" style="53" customWidth="1"/>
    <col min="15847" max="15847" width="52" style="53" customWidth="1"/>
    <col min="15848" max="15848" width="5.28515625" style="53" customWidth="1"/>
    <col min="15849" max="15849" width="5.85546875" style="53" bestFit="1" customWidth="1"/>
    <col min="15850" max="15850" width="16.42578125" style="53" customWidth="1"/>
    <col min="15851" max="15851" width="4.5703125" style="53" customWidth="1"/>
    <col min="15852" max="15852" width="14.140625" style="53" customWidth="1"/>
    <col min="15853" max="15853" width="27.140625" style="53" customWidth="1"/>
    <col min="15854" max="15854" width="16.28515625" style="53" customWidth="1"/>
    <col min="15855" max="15855" width="13.85546875" style="53" customWidth="1"/>
    <col min="15856" max="16098" width="9.140625" style="53"/>
    <col min="16099" max="16099" width="1.7109375" style="53" customWidth="1"/>
    <col min="16100" max="16101" width="4.7109375" style="53" customWidth="1"/>
    <col min="16102" max="16102" width="54.140625" style="53" customWidth="1"/>
    <col min="16103" max="16103" width="52" style="53" customWidth="1"/>
    <col min="16104" max="16104" width="5.28515625" style="53" customWidth="1"/>
    <col min="16105" max="16105" width="5.85546875" style="53" bestFit="1" customWidth="1"/>
    <col min="16106" max="16106" width="16.42578125" style="53" customWidth="1"/>
    <col min="16107" max="16107" width="4.5703125" style="53" customWidth="1"/>
    <col min="16108" max="16108" width="14.140625" style="53" customWidth="1"/>
    <col min="16109" max="16109" width="27.140625" style="53" customWidth="1"/>
    <col min="16110" max="16110" width="16.28515625" style="53" customWidth="1"/>
    <col min="16111" max="16111" width="13.85546875" style="53" customWidth="1"/>
    <col min="16112" max="16384" width="9.140625" style="53"/>
  </cols>
  <sheetData>
    <row r="1" spans="2:13" ht="15" customHeight="1" x14ac:dyDescent="0.25"/>
    <row r="2" spans="2:13" s="5" customFormat="1" ht="15.75" hidden="1" x14ac:dyDescent="0.25">
      <c r="B2" s="1371"/>
      <c r="C2" s="1645" t="s">
        <v>431</v>
      </c>
      <c r="D2" s="1645"/>
      <c r="E2" s="1645"/>
      <c r="F2" s="1645"/>
      <c r="G2" s="1645"/>
      <c r="H2" s="1645"/>
      <c r="I2" s="1645"/>
      <c r="J2" s="1368"/>
      <c r="K2" s="451"/>
    </row>
    <row r="3" spans="2:13" s="5" customFormat="1" ht="13.5" customHeight="1" x14ac:dyDescent="0.25">
      <c r="B3" s="1371"/>
      <c r="C3" s="1646" t="s">
        <v>532</v>
      </c>
      <c r="D3" s="1646"/>
      <c r="E3" s="1646"/>
      <c r="F3" s="1646"/>
      <c r="G3" s="1646"/>
      <c r="H3" s="1646"/>
      <c r="I3" s="1646"/>
      <c r="J3" s="1646"/>
      <c r="K3" s="1646"/>
    </row>
    <row r="4" spans="2:13" s="4" customFormat="1" ht="14.25" customHeight="1" x14ac:dyDescent="0.25">
      <c r="B4" s="1371"/>
      <c r="C4" s="1646" t="s">
        <v>1</v>
      </c>
      <c r="D4" s="1646"/>
      <c r="E4" s="1646"/>
      <c r="F4" s="1646"/>
      <c r="G4" s="1646"/>
      <c r="H4" s="1646"/>
      <c r="I4" s="1646"/>
      <c r="J4" s="1646"/>
      <c r="K4" s="1646"/>
    </row>
    <row r="5" spans="2:13" s="4" customFormat="1" ht="15.75" x14ac:dyDescent="0.25">
      <c r="B5" s="1371"/>
      <c r="C5" s="452"/>
      <c r="D5" s="453"/>
      <c r="E5" s="454"/>
      <c r="F5" s="455"/>
      <c r="G5" s="457"/>
      <c r="H5" s="457"/>
      <c r="I5" s="457"/>
      <c r="J5" s="457"/>
      <c r="K5" s="458"/>
    </row>
    <row r="6" spans="2:13" s="4" customFormat="1" ht="18" customHeight="1" thickBot="1" x14ac:dyDescent="0.3">
      <c r="B6" s="1371"/>
      <c r="C6" s="1369" t="s">
        <v>2</v>
      </c>
      <c r="D6" s="1505" t="s">
        <v>526</v>
      </c>
      <c r="E6" s="1505"/>
      <c r="F6" s="459"/>
      <c r="G6" s="457"/>
      <c r="H6" s="457"/>
      <c r="I6" s="457"/>
      <c r="J6" s="457"/>
      <c r="K6" s="458"/>
    </row>
    <row r="7" spans="2:13" s="4" customFormat="1" ht="3" hidden="1" customHeight="1" thickBot="1" x14ac:dyDescent="0.3">
      <c r="B7" s="1742"/>
      <c r="C7" s="6"/>
      <c r="D7" s="8"/>
      <c r="E7" s="9"/>
      <c r="F7" s="10"/>
      <c r="G7" s="12"/>
      <c r="H7" s="12"/>
      <c r="I7" s="12"/>
      <c r="J7" s="12"/>
      <c r="K7" s="1756"/>
    </row>
    <row r="8" spans="2:13" s="15" customFormat="1" ht="32.25" customHeight="1" thickTop="1" x14ac:dyDescent="0.25">
      <c r="B8" s="1742"/>
      <c r="C8" s="1757" t="s">
        <v>496</v>
      </c>
      <c r="D8" s="1759" t="s">
        <v>418</v>
      </c>
      <c r="E8" s="1760"/>
      <c r="F8" s="1763" t="s">
        <v>417</v>
      </c>
      <c r="G8" s="1765" t="s">
        <v>530</v>
      </c>
      <c r="H8" s="1765" t="s">
        <v>531</v>
      </c>
      <c r="I8" s="1765" t="s">
        <v>501</v>
      </c>
      <c r="J8" s="1767" t="s">
        <v>469</v>
      </c>
      <c r="K8" s="1756"/>
    </row>
    <row r="9" spans="2:13" s="15" customFormat="1" ht="24.75" customHeight="1" x14ac:dyDescent="0.25">
      <c r="B9" s="1742"/>
      <c r="C9" s="1758"/>
      <c r="D9" s="1761"/>
      <c r="E9" s="1762"/>
      <c r="F9" s="1764"/>
      <c r="G9" s="1766"/>
      <c r="H9" s="1766"/>
      <c r="I9" s="1766"/>
      <c r="J9" s="1768"/>
      <c r="K9" s="1756"/>
    </row>
    <row r="10" spans="2:13" s="29" customFormat="1" ht="32.25" customHeight="1" x14ac:dyDescent="0.25">
      <c r="B10" s="1742"/>
      <c r="C10" s="1769" t="s">
        <v>4</v>
      </c>
      <c r="D10" s="1770"/>
      <c r="E10" s="1771"/>
      <c r="F10" s="1376"/>
      <c r="G10" s="1377">
        <f>SUM(G18:G29)</f>
        <v>31636082971</v>
      </c>
      <c r="H10" s="1377">
        <f>SUM(H18:H29)</f>
        <v>37636082971</v>
      </c>
      <c r="I10" s="1378">
        <f>SUM(I11:I29)</f>
        <v>15500000000</v>
      </c>
      <c r="J10" s="1379"/>
      <c r="K10" s="1756"/>
      <c r="M10" s="396">
        <v>-37348487571</v>
      </c>
    </row>
    <row r="11" spans="2:13" s="62" customFormat="1" ht="43.5" customHeight="1" x14ac:dyDescent="0.25">
      <c r="B11" s="1742"/>
      <c r="C11" s="49" t="s">
        <v>5</v>
      </c>
      <c r="D11" s="1714" t="s">
        <v>229</v>
      </c>
      <c r="E11" s="1715"/>
      <c r="F11" s="760" t="s">
        <v>230</v>
      </c>
      <c r="G11" s="647">
        <v>1700000000</v>
      </c>
      <c r="H11" s="647">
        <v>0</v>
      </c>
      <c r="I11" s="647">
        <f t="shared" ref="I11:I27" si="0">H11-G11</f>
        <v>-1700000000</v>
      </c>
      <c r="J11" s="1381" t="s">
        <v>564</v>
      </c>
      <c r="K11" s="1756"/>
    </row>
    <row r="12" spans="2:13" s="62" customFormat="1" ht="51.75" customHeight="1" x14ac:dyDescent="0.25">
      <c r="B12" s="1742"/>
      <c r="C12" s="49" t="s">
        <v>10</v>
      </c>
      <c r="D12" s="1716" t="s">
        <v>220</v>
      </c>
      <c r="E12" s="1717"/>
      <c r="F12" s="763" t="s">
        <v>221</v>
      </c>
      <c r="G12" s="643">
        <v>1500000000</v>
      </c>
      <c r="H12" s="643">
        <v>0</v>
      </c>
      <c r="I12" s="643">
        <f t="shared" si="0"/>
        <v>-1500000000</v>
      </c>
      <c r="J12" s="1380" t="s">
        <v>565</v>
      </c>
      <c r="K12" s="1756"/>
    </row>
    <row r="13" spans="2:13" s="62" customFormat="1" ht="25.5" customHeight="1" x14ac:dyDescent="0.25">
      <c r="B13" s="1742"/>
      <c r="C13" s="49" t="s">
        <v>13</v>
      </c>
      <c r="D13" s="1738" t="s">
        <v>69</v>
      </c>
      <c r="E13" s="1739"/>
      <c r="F13" s="469" t="s">
        <v>137</v>
      </c>
      <c r="G13" s="626">
        <v>300000000</v>
      </c>
      <c r="H13" s="626">
        <v>250000000</v>
      </c>
      <c r="I13" s="626">
        <f t="shared" si="0"/>
        <v>-50000000</v>
      </c>
      <c r="J13" s="1382" t="s">
        <v>566</v>
      </c>
      <c r="K13" s="1756"/>
    </row>
    <row r="14" spans="2:13" s="62" customFormat="1" ht="27" customHeight="1" x14ac:dyDescent="0.25">
      <c r="B14" s="1742"/>
      <c r="C14" s="39" t="s">
        <v>16</v>
      </c>
      <c r="D14" s="1738" t="s">
        <v>78</v>
      </c>
      <c r="E14" s="1739"/>
      <c r="F14" s="469" t="s">
        <v>137</v>
      </c>
      <c r="G14" s="626">
        <v>750000000</v>
      </c>
      <c r="H14" s="626">
        <v>800000000</v>
      </c>
      <c r="I14" s="626">
        <f t="shared" si="0"/>
        <v>50000000</v>
      </c>
      <c r="J14" s="1382" t="s">
        <v>567</v>
      </c>
      <c r="K14" s="1756"/>
    </row>
    <row r="15" spans="2:13" s="113" customFormat="1" ht="43.5" customHeight="1" x14ac:dyDescent="0.25">
      <c r="B15" s="1742"/>
      <c r="C15" s="39" t="s">
        <v>19</v>
      </c>
      <c r="D15" s="1772" t="s">
        <v>80</v>
      </c>
      <c r="E15" s="1773"/>
      <c r="F15" s="1373" t="s">
        <v>137</v>
      </c>
      <c r="G15" s="1374">
        <v>850000000</v>
      </c>
      <c r="H15" s="1374">
        <v>1350000000</v>
      </c>
      <c r="I15" s="1374">
        <f t="shared" si="0"/>
        <v>500000000</v>
      </c>
      <c r="J15" s="1375" t="s">
        <v>528</v>
      </c>
      <c r="K15" s="1756"/>
    </row>
    <row r="16" spans="2:13" s="62" customFormat="1" ht="45.75" customHeight="1" x14ac:dyDescent="0.25">
      <c r="B16" s="1742"/>
      <c r="C16" s="39" t="s">
        <v>27</v>
      </c>
      <c r="D16" s="1582" t="s">
        <v>136</v>
      </c>
      <c r="E16" s="1583"/>
      <c r="F16" s="469" t="s">
        <v>137</v>
      </c>
      <c r="G16" s="626">
        <v>26300000000</v>
      </c>
      <c r="H16" s="626">
        <v>34000000000</v>
      </c>
      <c r="I16" s="626">
        <f t="shared" si="0"/>
        <v>7700000000</v>
      </c>
      <c r="J16" s="1382" t="s">
        <v>568</v>
      </c>
      <c r="K16" s="1756"/>
    </row>
    <row r="17" spans="2:11" s="29" customFormat="1" ht="61.5" customHeight="1" x14ac:dyDescent="0.25">
      <c r="B17" s="1742"/>
      <c r="C17" s="39" t="s">
        <v>30</v>
      </c>
      <c r="D17" s="1582" t="s">
        <v>145</v>
      </c>
      <c r="E17" s="1583"/>
      <c r="F17" s="1370" t="s">
        <v>146</v>
      </c>
      <c r="G17" s="625">
        <v>21200000000</v>
      </c>
      <c r="H17" s="625">
        <v>25700000000</v>
      </c>
      <c r="I17" s="625">
        <f t="shared" si="0"/>
        <v>4500000000</v>
      </c>
      <c r="J17" s="1384" t="s">
        <v>569</v>
      </c>
      <c r="K17" s="1756"/>
    </row>
    <row r="18" spans="2:11" s="62" customFormat="1" ht="29.25" customHeight="1" x14ac:dyDescent="0.25">
      <c r="B18" s="1742"/>
      <c r="C18" s="49" t="s">
        <v>8</v>
      </c>
      <c r="D18" s="1582" t="s">
        <v>167</v>
      </c>
      <c r="E18" s="1583"/>
      <c r="F18" s="469" t="s">
        <v>168</v>
      </c>
      <c r="G18" s="630">
        <v>11065000000</v>
      </c>
      <c r="H18" s="630">
        <v>12565000000</v>
      </c>
      <c r="I18" s="630">
        <f t="shared" si="0"/>
        <v>1500000000</v>
      </c>
      <c r="J18" s="1380" t="s">
        <v>570</v>
      </c>
      <c r="K18" s="1756"/>
    </row>
    <row r="19" spans="2:11" s="113" customFormat="1" ht="27.75" customHeight="1" x14ac:dyDescent="0.25">
      <c r="B19" s="1742"/>
      <c r="C19" s="39" t="s">
        <v>22</v>
      </c>
      <c r="D19" s="1744" t="s">
        <v>172</v>
      </c>
      <c r="E19" s="1745"/>
      <c r="F19" s="760" t="s">
        <v>230</v>
      </c>
      <c r="G19" s="643">
        <v>3000000000</v>
      </c>
      <c r="H19" s="643">
        <v>6500000000</v>
      </c>
      <c r="I19" s="896">
        <f t="shared" si="0"/>
        <v>3500000000</v>
      </c>
      <c r="J19" s="1385" t="s">
        <v>571</v>
      </c>
      <c r="K19" s="1756"/>
    </row>
    <row r="20" spans="2:11" s="29" customFormat="1" ht="30.75" customHeight="1" x14ac:dyDescent="0.25">
      <c r="B20" s="1742"/>
      <c r="C20" s="771" t="s">
        <v>210</v>
      </c>
      <c r="D20" s="1563" t="s">
        <v>227</v>
      </c>
      <c r="E20" s="1564"/>
      <c r="F20" s="74" t="s">
        <v>464</v>
      </c>
      <c r="G20" s="659">
        <v>11000000000</v>
      </c>
      <c r="H20" s="659">
        <v>12000000000</v>
      </c>
      <c r="I20" s="659">
        <f t="shared" si="0"/>
        <v>1000000000</v>
      </c>
      <c r="J20" s="1380" t="s">
        <v>572</v>
      </c>
      <c r="K20" s="1756"/>
    </row>
    <row r="21" spans="2:11" s="29" customFormat="1" ht="43.5" customHeight="1" x14ac:dyDescent="0.25">
      <c r="B21" s="1742"/>
      <c r="C21" s="771" t="s">
        <v>439</v>
      </c>
      <c r="D21" s="1563" t="s">
        <v>265</v>
      </c>
      <c r="E21" s="1564"/>
      <c r="F21" s="74" t="s">
        <v>464</v>
      </c>
      <c r="G21" s="659">
        <v>1000000000</v>
      </c>
      <c r="H21" s="659">
        <v>500000000</v>
      </c>
      <c r="I21" s="659">
        <f t="shared" si="0"/>
        <v>-500000000</v>
      </c>
      <c r="J21" s="1380" t="s">
        <v>573</v>
      </c>
      <c r="K21" s="1756"/>
    </row>
    <row r="22" spans="2:11" s="29" customFormat="1" ht="53.25" customHeight="1" x14ac:dyDescent="0.25">
      <c r="B22" s="1742"/>
      <c r="C22" s="771" t="s">
        <v>440</v>
      </c>
      <c r="D22" s="1618" t="s">
        <v>270</v>
      </c>
      <c r="E22" s="1620"/>
      <c r="F22" s="855" t="s">
        <v>271</v>
      </c>
      <c r="G22" s="660">
        <v>1045000000</v>
      </c>
      <c r="H22" s="660">
        <v>1545000000</v>
      </c>
      <c r="I22" s="660">
        <f t="shared" si="0"/>
        <v>500000000</v>
      </c>
      <c r="J22" s="1386" t="s">
        <v>574</v>
      </c>
      <c r="K22" s="1756"/>
    </row>
    <row r="23" spans="2:11" s="62" customFormat="1" ht="54.75" customHeight="1" x14ac:dyDescent="0.25">
      <c r="B23" s="1742"/>
      <c r="C23" s="771" t="s">
        <v>441</v>
      </c>
      <c r="D23" s="1563" t="s">
        <v>308</v>
      </c>
      <c r="E23" s="1564"/>
      <c r="F23" s="767" t="s">
        <v>309</v>
      </c>
      <c r="G23" s="617">
        <v>2126082971</v>
      </c>
      <c r="H23" s="617">
        <v>600000000</v>
      </c>
      <c r="I23" s="617">
        <f t="shared" si="0"/>
        <v>-1526082971</v>
      </c>
      <c r="J23" s="1387" t="s">
        <v>575</v>
      </c>
      <c r="K23" s="1756"/>
    </row>
    <row r="24" spans="2:11" s="29" customFormat="1" ht="30" customHeight="1" x14ac:dyDescent="0.25">
      <c r="B24" s="1742"/>
      <c r="C24" s="39" t="s">
        <v>442</v>
      </c>
      <c r="D24" s="1712" t="s">
        <v>317</v>
      </c>
      <c r="E24" s="1713"/>
      <c r="F24" s="772" t="s">
        <v>318</v>
      </c>
      <c r="G24" s="774">
        <v>100000000</v>
      </c>
      <c r="H24" s="774">
        <v>300000000</v>
      </c>
      <c r="I24" s="774">
        <f t="shared" si="0"/>
        <v>200000000</v>
      </c>
      <c r="J24" s="1388" t="s">
        <v>576</v>
      </c>
      <c r="K24" s="1756"/>
    </row>
    <row r="25" spans="2:11" s="343" customFormat="1" ht="31.5" customHeight="1" x14ac:dyDescent="0.25">
      <c r="B25" s="1742"/>
      <c r="C25" s="771" t="s">
        <v>443</v>
      </c>
      <c r="D25" s="1582" t="s">
        <v>320</v>
      </c>
      <c r="E25" s="1583"/>
      <c r="F25" s="772" t="s">
        <v>321</v>
      </c>
      <c r="G25" s="774">
        <v>200000000</v>
      </c>
      <c r="H25" s="774">
        <v>600000000</v>
      </c>
      <c r="I25" s="774">
        <f t="shared" si="0"/>
        <v>400000000</v>
      </c>
      <c r="J25" s="1389" t="s">
        <v>576</v>
      </c>
      <c r="K25" s="1756"/>
    </row>
    <row r="26" spans="2:11" s="29" customFormat="1" ht="34.5" customHeight="1" x14ac:dyDescent="0.25">
      <c r="B26" s="1742"/>
      <c r="C26" s="771" t="s">
        <v>444</v>
      </c>
      <c r="D26" s="1712" t="s">
        <v>322</v>
      </c>
      <c r="E26" s="1713"/>
      <c r="F26" s="772" t="s">
        <v>323</v>
      </c>
      <c r="G26" s="774">
        <v>100000000</v>
      </c>
      <c r="H26" s="774">
        <v>250000000</v>
      </c>
      <c r="I26" s="774">
        <f t="shared" si="0"/>
        <v>150000000</v>
      </c>
      <c r="J26" s="1390" t="s">
        <v>576</v>
      </c>
      <c r="K26" s="1756"/>
    </row>
    <row r="27" spans="2:11" s="29" customFormat="1" ht="28.5" customHeight="1" x14ac:dyDescent="0.25">
      <c r="B27" s="1742"/>
      <c r="C27" s="771" t="s">
        <v>445</v>
      </c>
      <c r="D27" s="1582" t="s">
        <v>335</v>
      </c>
      <c r="E27" s="1583"/>
      <c r="F27" s="856" t="s">
        <v>336</v>
      </c>
      <c r="G27" s="663">
        <v>2000000000</v>
      </c>
      <c r="H27" s="663">
        <v>2776082971</v>
      </c>
      <c r="I27" s="663">
        <f t="shared" si="0"/>
        <v>776082971</v>
      </c>
      <c r="J27" s="1391" t="s">
        <v>577</v>
      </c>
      <c r="K27" s="1756"/>
    </row>
    <row r="28" spans="2:11" s="62" customFormat="1" ht="25.5" hidden="1" customHeight="1" x14ac:dyDescent="0.25">
      <c r="B28" s="1742"/>
      <c r="C28" s="771" t="s">
        <v>446</v>
      </c>
      <c r="D28" s="1582"/>
      <c r="E28" s="1583"/>
      <c r="F28" s="856"/>
      <c r="G28" s="663"/>
      <c r="H28" s="663"/>
      <c r="I28" s="663"/>
      <c r="J28" s="1117"/>
      <c r="K28" s="1756"/>
    </row>
    <row r="29" spans="2:11" s="29" customFormat="1" ht="21" hidden="1" customHeight="1" x14ac:dyDescent="0.25">
      <c r="B29" s="1742"/>
      <c r="C29" s="39" t="s">
        <v>447</v>
      </c>
      <c r="D29" s="1582"/>
      <c r="E29" s="1583"/>
      <c r="F29" s="856"/>
      <c r="G29" s="663"/>
      <c r="H29" s="663"/>
      <c r="I29" s="663"/>
      <c r="J29" s="1117"/>
      <c r="K29" s="1756"/>
    </row>
    <row r="30" spans="2:11" ht="2.25" customHeight="1" thickBot="1" x14ac:dyDescent="0.3">
      <c r="B30" s="1742"/>
      <c r="C30" s="420"/>
      <c r="D30" s="422"/>
      <c r="E30" s="423"/>
      <c r="F30" s="424"/>
      <c r="G30" s="672"/>
      <c r="H30" s="672"/>
      <c r="I30" s="672"/>
      <c r="J30" s="426"/>
      <c r="K30" s="1756"/>
    </row>
    <row r="31" spans="2:11" ht="3" customHeight="1" thickTop="1" x14ac:dyDescent="0.25">
      <c r="B31" s="1742"/>
      <c r="K31" s="1756"/>
    </row>
    <row r="42" spans="2:11" ht="15.75" x14ac:dyDescent="0.25">
      <c r="B42" s="1646" t="s">
        <v>532</v>
      </c>
      <c r="C42" s="1646"/>
      <c r="D42" s="1646"/>
      <c r="E42" s="1646"/>
      <c r="F42" s="1646"/>
      <c r="G42" s="1646"/>
      <c r="H42" s="1646"/>
      <c r="I42" s="1646"/>
      <c r="J42" s="1646"/>
      <c r="K42" s="1646"/>
    </row>
    <row r="43" spans="2:11" ht="15.75" x14ac:dyDescent="0.25">
      <c r="B43" s="1646" t="s">
        <v>1</v>
      </c>
      <c r="C43" s="1646"/>
      <c r="D43" s="1646"/>
      <c r="E43" s="1646"/>
      <c r="F43" s="1646"/>
      <c r="G43" s="1646"/>
      <c r="H43" s="1646"/>
      <c r="I43" s="1646"/>
      <c r="J43" s="1646"/>
      <c r="K43" s="1646"/>
    </row>
    <row r="44" spans="2:11" ht="15.75" x14ac:dyDescent="0.25">
      <c r="B44" s="1371"/>
      <c r="C44" s="452"/>
      <c r="D44" s="453"/>
      <c r="E44" s="454"/>
      <c r="F44" s="455"/>
      <c r="G44" s="457"/>
      <c r="H44" s="457"/>
      <c r="I44" s="457"/>
      <c r="J44" s="457"/>
      <c r="K44" s="458"/>
    </row>
    <row r="45" spans="2:11" ht="15.75" x14ac:dyDescent="0.25">
      <c r="B45" s="1371"/>
      <c r="C45" s="1369" t="s">
        <v>2</v>
      </c>
      <c r="D45" s="1505" t="s">
        <v>526</v>
      </c>
      <c r="E45" s="1505"/>
      <c r="F45" s="459"/>
      <c r="G45" s="457"/>
      <c r="H45" s="457"/>
      <c r="I45" s="457"/>
      <c r="J45" s="457"/>
      <c r="K45" s="458"/>
    </row>
    <row r="46" spans="2:11" ht="3" customHeight="1" thickBot="1" x14ac:dyDescent="0.3">
      <c r="B46" s="1742"/>
      <c r="C46" s="6"/>
      <c r="D46" s="8"/>
      <c r="E46" s="9"/>
      <c r="F46" s="10"/>
      <c r="G46" s="12"/>
      <c r="H46" s="12"/>
      <c r="I46" s="12"/>
      <c r="J46" s="12"/>
      <c r="K46" s="1756"/>
    </row>
    <row r="47" spans="2:11" ht="13.5" thickTop="1" x14ac:dyDescent="0.25">
      <c r="B47" s="1742"/>
      <c r="C47" s="1757" t="s">
        <v>496</v>
      </c>
      <c r="D47" s="1759" t="s">
        <v>418</v>
      </c>
      <c r="E47" s="1760"/>
      <c r="F47" s="1763" t="s">
        <v>417</v>
      </c>
      <c r="G47" s="1765" t="s">
        <v>530</v>
      </c>
      <c r="H47" s="1765" t="s">
        <v>531</v>
      </c>
      <c r="I47" s="1765" t="s">
        <v>501</v>
      </c>
      <c r="J47" s="1767" t="s">
        <v>469</v>
      </c>
      <c r="K47" s="1756"/>
    </row>
    <row r="48" spans="2:11" ht="34.5" customHeight="1" x14ac:dyDescent="0.25">
      <c r="B48" s="1742"/>
      <c r="C48" s="1758"/>
      <c r="D48" s="1761"/>
      <c r="E48" s="1762"/>
      <c r="F48" s="1764"/>
      <c r="G48" s="1766"/>
      <c r="H48" s="1766"/>
      <c r="I48" s="1766"/>
      <c r="J48" s="1768"/>
      <c r="K48" s="1756"/>
    </row>
    <row r="49" spans="2:11" ht="27" customHeight="1" x14ac:dyDescent="0.25">
      <c r="B49" s="1742"/>
      <c r="C49" s="1769" t="s">
        <v>4</v>
      </c>
      <c r="D49" s="1770"/>
      <c r="E49" s="1771"/>
      <c r="F49" s="1376"/>
      <c r="G49" s="1377">
        <f>SUM(G50:G68)</f>
        <v>80836082971</v>
      </c>
      <c r="H49" s="1377">
        <f>SUM(H50:H68)</f>
        <v>95836082971</v>
      </c>
      <c r="I49" s="1378">
        <f>SUM(I50:I68)</f>
        <v>15000000000</v>
      </c>
      <c r="J49" s="1379"/>
      <c r="K49" s="1756"/>
    </row>
    <row r="50" spans="2:11" ht="26.25" customHeight="1" x14ac:dyDescent="0.25">
      <c r="B50" s="1742"/>
      <c r="C50" s="49" t="s">
        <v>5</v>
      </c>
      <c r="D50" s="1714" t="s">
        <v>229</v>
      </c>
      <c r="E50" s="1715"/>
      <c r="F50" s="760" t="s">
        <v>230</v>
      </c>
      <c r="G50" s="647">
        <v>1700000000</v>
      </c>
      <c r="H50" s="647">
        <v>0</v>
      </c>
      <c r="I50" s="647">
        <f t="shared" ref="I50:I54" si="1">H50-G50</f>
        <v>-1700000000</v>
      </c>
      <c r="J50" s="1381" t="s">
        <v>564</v>
      </c>
      <c r="K50" s="1756"/>
    </row>
    <row r="51" spans="2:11" ht="44.25" customHeight="1" x14ac:dyDescent="0.25">
      <c r="B51" s="1742"/>
      <c r="C51" s="49" t="s">
        <v>10</v>
      </c>
      <c r="D51" s="1716" t="s">
        <v>220</v>
      </c>
      <c r="E51" s="1717"/>
      <c r="F51" s="763" t="s">
        <v>221</v>
      </c>
      <c r="G51" s="643">
        <v>1500000000</v>
      </c>
      <c r="H51" s="643">
        <v>0</v>
      </c>
      <c r="I51" s="643">
        <f t="shared" si="1"/>
        <v>-1500000000</v>
      </c>
      <c r="J51" s="1380" t="s">
        <v>565</v>
      </c>
      <c r="K51" s="1756"/>
    </row>
    <row r="52" spans="2:11" ht="28.5" customHeight="1" x14ac:dyDescent="0.25">
      <c r="B52" s="1742"/>
      <c r="C52" s="49" t="s">
        <v>13</v>
      </c>
      <c r="D52" s="1738" t="s">
        <v>69</v>
      </c>
      <c r="E52" s="1739"/>
      <c r="F52" s="469" t="s">
        <v>137</v>
      </c>
      <c r="G52" s="626">
        <v>300000000</v>
      </c>
      <c r="H52" s="626">
        <v>250000000</v>
      </c>
      <c r="I52" s="626">
        <f t="shared" si="1"/>
        <v>-50000000</v>
      </c>
      <c r="J52" s="1382" t="s">
        <v>566</v>
      </c>
      <c r="K52" s="1756"/>
    </row>
    <row r="53" spans="2:11" ht="22.5" customHeight="1" x14ac:dyDescent="0.25">
      <c r="B53" s="1742"/>
      <c r="C53" s="39" t="s">
        <v>16</v>
      </c>
      <c r="D53" s="1738" t="s">
        <v>78</v>
      </c>
      <c r="E53" s="1739"/>
      <c r="F53" s="469" t="s">
        <v>137</v>
      </c>
      <c r="G53" s="626">
        <v>750000000</v>
      </c>
      <c r="H53" s="626">
        <v>800000000</v>
      </c>
      <c r="I53" s="626">
        <f t="shared" si="1"/>
        <v>50000000</v>
      </c>
      <c r="J53" s="1382" t="s">
        <v>567</v>
      </c>
      <c r="K53" s="1756"/>
    </row>
    <row r="54" spans="2:11" ht="24" customHeight="1" x14ac:dyDescent="0.25">
      <c r="B54" s="1742"/>
      <c r="C54" s="39" t="s">
        <v>19</v>
      </c>
      <c r="D54" s="1582" t="s">
        <v>80</v>
      </c>
      <c r="E54" s="1583"/>
      <c r="F54" s="469" t="s">
        <v>137</v>
      </c>
      <c r="G54" s="626">
        <v>850000000</v>
      </c>
      <c r="H54" s="626">
        <v>1350000000</v>
      </c>
      <c r="I54" s="626">
        <f t="shared" si="1"/>
        <v>500000000</v>
      </c>
      <c r="J54" s="1382" t="s">
        <v>584</v>
      </c>
      <c r="K54" s="1756"/>
    </row>
    <row r="55" spans="2:11" ht="43.5" customHeight="1" x14ac:dyDescent="0.25">
      <c r="B55" s="1742"/>
      <c r="C55" s="39" t="s">
        <v>27</v>
      </c>
      <c r="D55" s="1582" t="s">
        <v>136</v>
      </c>
      <c r="E55" s="1583"/>
      <c r="F55" s="469" t="s">
        <v>137</v>
      </c>
      <c r="G55" s="626">
        <v>26300000000</v>
      </c>
      <c r="H55" s="626">
        <v>35500000000</v>
      </c>
      <c r="I55" s="626">
        <f t="shared" ref="I55:I60" si="2">H55-G55</f>
        <v>9200000000</v>
      </c>
      <c r="J55" s="1382" t="s">
        <v>568</v>
      </c>
      <c r="K55" s="1756"/>
    </row>
    <row r="56" spans="2:11" ht="53.25" customHeight="1" x14ac:dyDescent="0.25">
      <c r="B56" s="1742"/>
      <c r="C56" s="39" t="s">
        <v>30</v>
      </c>
      <c r="D56" s="1582" t="s">
        <v>145</v>
      </c>
      <c r="E56" s="1583"/>
      <c r="F56" s="1370" t="s">
        <v>146</v>
      </c>
      <c r="G56" s="625">
        <v>21200000000</v>
      </c>
      <c r="H56" s="625">
        <v>25700000000</v>
      </c>
      <c r="I56" s="625">
        <f t="shared" si="2"/>
        <v>4500000000</v>
      </c>
      <c r="J56" s="1384" t="s">
        <v>569</v>
      </c>
      <c r="K56" s="1756"/>
    </row>
    <row r="57" spans="2:11" ht="25.5" customHeight="1" x14ac:dyDescent="0.25">
      <c r="B57" s="1742"/>
      <c r="C57" s="49" t="s">
        <v>8</v>
      </c>
      <c r="D57" s="1582" t="s">
        <v>167</v>
      </c>
      <c r="E57" s="1583"/>
      <c r="F57" s="469" t="s">
        <v>168</v>
      </c>
      <c r="G57" s="630">
        <v>11065000000</v>
      </c>
      <c r="H57" s="630">
        <v>11565000000</v>
      </c>
      <c r="I57" s="630">
        <f t="shared" si="2"/>
        <v>500000000</v>
      </c>
      <c r="J57" s="1380" t="s">
        <v>570</v>
      </c>
      <c r="K57" s="1756"/>
    </row>
    <row r="58" spans="2:11" ht="25.5" customHeight="1" x14ac:dyDescent="0.25">
      <c r="B58" s="1742"/>
      <c r="C58" s="39" t="s">
        <v>22</v>
      </c>
      <c r="D58" s="1744" t="s">
        <v>172</v>
      </c>
      <c r="E58" s="1745"/>
      <c r="F58" s="760" t="s">
        <v>230</v>
      </c>
      <c r="G58" s="643">
        <v>3000000000</v>
      </c>
      <c r="H58" s="643">
        <v>6500000000</v>
      </c>
      <c r="I58" s="896">
        <f t="shared" si="2"/>
        <v>3500000000</v>
      </c>
      <c r="J58" s="1385" t="s">
        <v>580</v>
      </c>
      <c r="K58" s="1756"/>
    </row>
    <row r="59" spans="2:11" ht="19.5" customHeight="1" x14ac:dyDescent="0.25">
      <c r="B59" s="1742"/>
      <c r="C59" s="771" t="s">
        <v>210</v>
      </c>
      <c r="D59" s="1563" t="s">
        <v>105</v>
      </c>
      <c r="E59" s="1564"/>
      <c r="F59" s="74" t="s">
        <v>464</v>
      </c>
      <c r="G59" s="659">
        <v>0</v>
      </c>
      <c r="H59" s="659">
        <v>300000000</v>
      </c>
      <c r="I59" s="659">
        <f t="shared" si="2"/>
        <v>300000000</v>
      </c>
      <c r="J59" s="1380" t="s">
        <v>581</v>
      </c>
      <c r="K59" s="1756"/>
    </row>
    <row r="60" spans="2:11" ht="29.25" customHeight="1" x14ac:dyDescent="0.25">
      <c r="B60" s="1742"/>
      <c r="C60" s="771" t="s">
        <v>439</v>
      </c>
      <c r="D60" s="1563" t="s">
        <v>246</v>
      </c>
      <c r="E60" s="1564"/>
      <c r="F60" s="74" t="s">
        <v>464</v>
      </c>
      <c r="G60" s="659">
        <v>6000000000</v>
      </c>
      <c r="H60" s="659">
        <v>6500000000</v>
      </c>
      <c r="I60" s="659">
        <f t="shared" si="2"/>
        <v>500000000</v>
      </c>
      <c r="J60" s="1380" t="s">
        <v>585</v>
      </c>
      <c r="K60" s="1756"/>
    </row>
    <row r="61" spans="2:11" ht="42" customHeight="1" x14ac:dyDescent="0.25">
      <c r="B61" s="1742"/>
      <c r="C61" s="771" t="s">
        <v>440</v>
      </c>
      <c r="D61" s="1563" t="s">
        <v>265</v>
      </c>
      <c r="E61" s="1564"/>
      <c r="F61" s="74" t="s">
        <v>464</v>
      </c>
      <c r="G61" s="659">
        <v>1000000000</v>
      </c>
      <c r="H61" s="659">
        <v>500000000</v>
      </c>
      <c r="I61" s="659">
        <f t="shared" ref="I61:I68" si="3">H61-G61</f>
        <v>-500000000</v>
      </c>
      <c r="J61" s="1380" t="s">
        <v>578</v>
      </c>
      <c r="K61" s="1756"/>
    </row>
    <row r="62" spans="2:11" ht="41.25" customHeight="1" x14ac:dyDescent="0.25">
      <c r="B62" s="1742"/>
      <c r="C62" s="771" t="s">
        <v>441</v>
      </c>
      <c r="D62" s="1618" t="s">
        <v>270</v>
      </c>
      <c r="E62" s="1620"/>
      <c r="F62" s="855" t="s">
        <v>271</v>
      </c>
      <c r="G62" s="660">
        <v>1045000000</v>
      </c>
      <c r="H62" s="660">
        <v>1545000000</v>
      </c>
      <c r="I62" s="660">
        <f t="shared" si="3"/>
        <v>500000000</v>
      </c>
      <c r="J62" s="1386" t="s">
        <v>574</v>
      </c>
      <c r="K62" s="1756"/>
    </row>
    <row r="63" spans="2:11" ht="26.25" customHeight="1" x14ac:dyDescent="0.25">
      <c r="B63" s="1742"/>
      <c r="C63" s="39" t="s">
        <v>442</v>
      </c>
      <c r="D63" s="1563" t="s">
        <v>296</v>
      </c>
      <c r="E63" s="1564"/>
      <c r="F63" s="767" t="s">
        <v>309</v>
      </c>
      <c r="G63" s="617">
        <v>1600000000</v>
      </c>
      <c r="H63" s="617">
        <v>800000000</v>
      </c>
      <c r="I63" s="617">
        <f t="shared" si="3"/>
        <v>-800000000</v>
      </c>
      <c r="J63" s="1387" t="s">
        <v>583</v>
      </c>
      <c r="K63" s="1756"/>
    </row>
    <row r="64" spans="2:11" ht="51.75" customHeight="1" x14ac:dyDescent="0.25">
      <c r="B64" s="1742"/>
      <c r="C64" s="771" t="s">
        <v>443</v>
      </c>
      <c r="D64" s="1563" t="s">
        <v>308</v>
      </c>
      <c r="E64" s="1564"/>
      <c r="F64" s="767" t="s">
        <v>309</v>
      </c>
      <c r="G64" s="617">
        <v>2126082971</v>
      </c>
      <c r="H64" s="617">
        <v>600000000</v>
      </c>
      <c r="I64" s="617">
        <f t="shared" si="3"/>
        <v>-1526082971</v>
      </c>
      <c r="J64" s="1387" t="s">
        <v>582</v>
      </c>
      <c r="K64" s="1756"/>
    </row>
    <row r="65" spans="2:11" ht="35.25" customHeight="1" x14ac:dyDescent="0.25">
      <c r="B65" s="1742"/>
      <c r="C65" s="771" t="s">
        <v>444</v>
      </c>
      <c r="D65" s="1712" t="s">
        <v>317</v>
      </c>
      <c r="E65" s="1713"/>
      <c r="F65" s="772" t="s">
        <v>318</v>
      </c>
      <c r="G65" s="774">
        <v>100000000</v>
      </c>
      <c r="H65" s="774">
        <v>300000000</v>
      </c>
      <c r="I65" s="774">
        <f t="shared" si="3"/>
        <v>200000000</v>
      </c>
      <c r="J65" s="1388" t="s">
        <v>576</v>
      </c>
      <c r="K65" s="1756"/>
    </row>
    <row r="66" spans="2:11" ht="27.75" customHeight="1" x14ac:dyDescent="0.25">
      <c r="B66" s="1742"/>
      <c r="C66" s="771" t="s">
        <v>445</v>
      </c>
      <c r="D66" s="1582" t="s">
        <v>320</v>
      </c>
      <c r="E66" s="1583"/>
      <c r="F66" s="772" t="s">
        <v>321</v>
      </c>
      <c r="G66" s="774">
        <v>200000000</v>
      </c>
      <c r="H66" s="774">
        <v>600000000</v>
      </c>
      <c r="I66" s="774">
        <f t="shared" si="3"/>
        <v>400000000</v>
      </c>
      <c r="J66" s="1389" t="s">
        <v>576</v>
      </c>
      <c r="K66" s="1756"/>
    </row>
    <row r="67" spans="2:11" ht="33" customHeight="1" x14ac:dyDescent="0.25">
      <c r="B67" s="1742"/>
      <c r="C67" s="771" t="s">
        <v>446</v>
      </c>
      <c r="D67" s="1712" t="s">
        <v>322</v>
      </c>
      <c r="E67" s="1713"/>
      <c r="F67" s="772" t="s">
        <v>323</v>
      </c>
      <c r="G67" s="774">
        <v>100000000</v>
      </c>
      <c r="H67" s="774">
        <v>250000000</v>
      </c>
      <c r="I67" s="774">
        <f t="shared" si="3"/>
        <v>150000000</v>
      </c>
      <c r="J67" s="1390" t="s">
        <v>576</v>
      </c>
      <c r="K67" s="1756"/>
    </row>
    <row r="68" spans="2:11" ht="26.25" customHeight="1" x14ac:dyDescent="0.25">
      <c r="B68" s="1742"/>
      <c r="C68" s="39" t="s">
        <v>447</v>
      </c>
      <c r="D68" s="1582" t="s">
        <v>335</v>
      </c>
      <c r="E68" s="1583"/>
      <c r="F68" s="856" t="s">
        <v>336</v>
      </c>
      <c r="G68" s="663">
        <v>2000000000</v>
      </c>
      <c r="H68" s="663">
        <v>2776082971</v>
      </c>
      <c r="I68" s="663">
        <f t="shared" si="3"/>
        <v>776082971</v>
      </c>
      <c r="J68" s="1391" t="s">
        <v>577</v>
      </c>
      <c r="K68" s="1756"/>
    </row>
    <row r="69" spans="2:11" ht="4.5" customHeight="1" thickBot="1" x14ac:dyDescent="0.3">
      <c r="B69" s="1742"/>
      <c r="C69" s="420"/>
      <c r="D69" s="422"/>
      <c r="E69" s="423"/>
      <c r="F69" s="424"/>
      <c r="G69" s="672"/>
      <c r="H69" s="672"/>
      <c r="I69" s="672"/>
      <c r="J69" s="426"/>
      <c r="K69" s="1756"/>
    </row>
    <row r="70" spans="2:11" ht="3.75" customHeight="1" thickTop="1" x14ac:dyDescent="0.25">
      <c r="B70" s="1742"/>
      <c r="K70" s="1756"/>
    </row>
    <row r="81" spans="2:11" ht="15.75" x14ac:dyDescent="0.25">
      <c r="B81" s="1646" t="s">
        <v>532</v>
      </c>
      <c r="C81" s="1646"/>
      <c r="D81" s="1646"/>
      <c r="E81" s="1646"/>
      <c r="F81" s="1646"/>
      <c r="G81" s="1646"/>
      <c r="H81" s="1646"/>
      <c r="I81" s="1646"/>
      <c r="J81" s="1646"/>
      <c r="K81" s="1646"/>
    </row>
    <row r="82" spans="2:11" ht="15.75" x14ac:dyDescent="0.25">
      <c r="B82" s="1646" t="s">
        <v>1</v>
      </c>
      <c r="C82" s="1646"/>
      <c r="D82" s="1646"/>
      <c r="E82" s="1646"/>
      <c r="F82" s="1646"/>
      <c r="G82" s="1646"/>
      <c r="H82" s="1646"/>
      <c r="I82" s="1646"/>
      <c r="J82" s="1646"/>
      <c r="K82" s="1646"/>
    </row>
    <row r="83" spans="2:11" ht="15.75" x14ac:dyDescent="0.25">
      <c r="B83" s="1371"/>
      <c r="C83" s="452"/>
      <c r="D83" s="453"/>
      <c r="E83" s="454"/>
      <c r="F83" s="455"/>
      <c r="G83" s="457"/>
      <c r="H83" s="457"/>
      <c r="I83" s="457"/>
      <c r="J83" s="457"/>
      <c r="K83" s="458"/>
    </row>
    <row r="84" spans="2:11" ht="15.75" x14ac:dyDescent="0.25">
      <c r="B84" s="1371"/>
      <c r="C84" s="1369" t="s">
        <v>2</v>
      </c>
      <c r="D84" s="1505" t="s">
        <v>526</v>
      </c>
      <c r="E84" s="1505"/>
      <c r="F84" s="459"/>
      <c r="G84" s="457"/>
      <c r="H84" s="457"/>
      <c r="I84" s="457"/>
      <c r="J84" s="457"/>
      <c r="K84" s="458"/>
    </row>
    <row r="85" spans="2:11" ht="13.5" thickBot="1" x14ac:dyDescent="0.3">
      <c r="B85" s="1742"/>
      <c r="C85" s="6"/>
      <c r="D85" s="8"/>
      <c r="E85" s="9"/>
      <c r="F85" s="10"/>
      <c r="G85" s="12"/>
      <c r="H85" s="12"/>
      <c r="I85" s="12"/>
      <c r="J85" s="12"/>
      <c r="K85" s="1756"/>
    </row>
    <row r="86" spans="2:11" ht="13.5" thickTop="1" x14ac:dyDescent="0.25">
      <c r="B86" s="1742"/>
      <c r="C86" s="1757" t="s">
        <v>496</v>
      </c>
      <c r="D86" s="1759" t="s">
        <v>418</v>
      </c>
      <c r="E86" s="1760"/>
      <c r="F86" s="1763" t="s">
        <v>417</v>
      </c>
      <c r="G86" s="1765" t="s">
        <v>530</v>
      </c>
      <c r="H86" s="1765" t="s">
        <v>531</v>
      </c>
      <c r="I86" s="1767" t="s">
        <v>501</v>
      </c>
      <c r="J86" s="1774" t="s">
        <v>469</v>
      </c>
      <c r="K86" s="1756"/>
    </row>
    <row r="87" spans="2:11" ht="37.5" customHeight="1" x14ac:dyDescent="0.25">
      <c r="B87" s="1742"/>
      <c r="C87" s="1758"/>
      <c r="D87" s="1761"/>
      <c r="E87" s="1762"/>
      <c r="F87" s="1764"/>
      <c r="G87" s="1766"/>
      <c r="H87" s="1766"/>
      <c r="I87" s="1768"/>
      <c r="J87" s="1775"/>
      <c r="K87" s="1756"/>
    </row>
    <row r="88" spans="2:11" ht="16.5" x14ac:dyDescent="0.25">
      <c r="B88" s="1742"/>
      <c r="C88" s="1769" t="s">
        <v>4</v>
      </c>
      <c r="D88" s="1770"/>
      <c r="E88" s="1771"/>
      <c r="F88" s="1376"/>
      <c r="G88" s="1377">
        <f>SUM(G89:G107)</f>
        <v>80836082971</v>
      </c>
      <c r="H88" s="1377">
        <f>SUM(H89:H107)</f>
        <v>95836082971</v>
      </c>
      <c r="I88" s="1379">
        <f>SUM(I89:I107)</f>
        <v>15000000000</v>
      </c>
      <c r="J88" s="1392"/>
      <c r="K88" s="1756"/>
    </row>
    <row r="89" spans="2:11" ht="20.25" customHeight="1" x14ac:dyDescent="0.25">
      <c r="B89" s="1742"/>
      <c r="C89" s="49" t="s">
        <v>5</v>
      </c>
      <c r="D89" s="1714" t="s">
        <v>229</v>
      </c>
      <c r="E89" s="1715"/>
      <c r="F89" s="760" t="s">
        <v>230</v>
      </c>
      <c r="G89" s="647">
        <v>1700000000</v>
      </c>
      <c r="H89" s="647">
        <v>0</v>
      </c>
      <c r="I89" s="274">
        <f t="shared" ref="I89:I107" si="4">H89-G89</f>
        <v>-1700000000</v>
      </c>
      <c r="J89" s="1393"/>
      <c r="K89" s="1756"/>
    </row>
    <row r="90" spans="2:11" ht="20.25" customHeight="1" x14ac:dyDescent="0.25">
      <c r="B90" s="1742"/>
      <c r="C90" s="49" t="s">
        <v>10</v>
      </c>
      <c r="D90" s="1716" t="s">
        <v>220</v>
      </c>
      <c r="E90" s="1717"/>
      <c r="F90" s="763" t="s">
        <v>221</v>
      </c>
      <c r="G90" s="643">
        <v>1500000000</v>
      </c>
      <c r="H90" s="643">
        <v>0</v>
      </c>
      <c r="I90" s="241">
        <f t="shared" si="4"/>
        <v>-1500000000</v>
      </c>
      <c r="J90" s="1394"/>
      <c r="K90" s="1756"/>
    </row>
    <row r="91" spans="2:11" ht="20.25" customHeight="1" x14ac:dyDescent="0.25">
      <c r="B91" s="1742"/>
      <c r="C91" s="49" t="s">
        <v>13</v>
      </c>
      <c r="D91" s="1738" t="s">
        <v>69</v>
      </c>
      <c r="E91" s="1739"/>
      <c r="F91" s="469" t="s">
        <v>137</v>
      </c>
      <c r="G91" s="626">
        <v>300000000</v>
      </c>
      <c r="H91" s="626">
        <v>250000000</v>
      </c>
      <c r="I91" s="117">
        <f t="shared" si="4"/>
        <v>-50000000</v>
      </c>
      <c r="J91" s="1395"/>
      <c r="K91" s="1756"/>
    </row>
    <row r="92" spans="2:11" ht="20.25" customHeight="1" x14ac:dyDescent="0.25">
      <c r="B92" s="1742"/>
      <c r="C92" s="39" t="s">
        <v>16</v>
      </c>
      <c r="D92" s="1738" t="s">
        <v>78</v>
      </c>
      <c r="E92" s="1739"/>
      <c r="F92" s="469" t="s">
        <v>137</v>
      </c>
      <c r="G92" s="626">
        <v>750000000</v>
      </c>
      <c r="H92" s="626">
        <v>800000000</v>
      </c>
      <c r="I92" s="117">
        <f t="shared" si="4"/>
        <v>50000000</v>
      </c>
      <c r="J92" s="1395"/>
      <c r="K92" s="1756"/>
    </row>
    <row r="93" spans="2:11" ht="20.25" customHeight="1" x14ac:dyDescent="0.25">
      <c r="B93" s="1742"/>
      <c r="C93" s="39" t="s">
        <v>19</v>
      </c>
      <c r="D93" s="1582" t="s">
        <v>80</v>
      </c>
      <c r="E93" s="1583"/>
      <c r="F93" s="469" t="s">
        <v>137</v>
      </c>
      <c r="G93" s="626">
        <v>850000000</v>
      </c>
      <c r="H93" s="626">
        <v>1350000000</v>
      </c>
      <c r="I93" s="117">
        <f t="shared" si="4"/>
        <v>500000000</v>
      </c>
      <c r="J93" s="1395"/>
      <c r="K93" s="1756"/>
    </row>
    <row r="94" spans="2:11" ht="20.25" customHeight="1" x14ac:dyDescent="0.25">
      <c r="B94" s="1742"/>
      <c r="C94" s="39" t="s">
        <v>27</v>
      </c>
      <c r="D94" s="1582" t="s">
        <v>136</v>
      </c>
      <c r="E94" s="1583"/>
      <c r="F94" s="469" t="s">
        <v>137</v>
      </c>
      <c r="G94" s="626">
        <v>26300000000</v>
      </c>
      <c r="H94" s="626">
        <v>35500000000</v>
      </c>
      <c r="I94" s="117">
        <f t="shared" si="4"/>
        <v>9200000000</v>
      </c>
      <c r="J94" s="1395"/>
      <c r="K94" s="1756"/>
    </row>
    <row r="95" spans="2:11" ht="20.25" customHeight="1" x14ac:dyDescent="0.25">
      <c r="B95" s="1742"/>
      <c r="C95" s="39" t="s">
        <v>30</v>
      </c>
      <c r="D95" s="1582" t="s">
        <v>145</v>
      </c>
      <c r="E95" s="1583"/>
      <c r="F95" s="1370" t="s">
        <v>146</v>
      </c>
      <c r="G95" s="625">
        <v>21200000000</v>
      </c>
      <c r="H95" s="625">
        <v>25700000000</v>
      </c>
      <c r="I95" s="111">
        <f t="shared" si="4"/>
        <v>4500000000</v>
      </c>
      <c r="J95" s="1396"/>
      <c r="K95" s="1756"/>
    </row>
    <row r="96" spans="2:11" ht="20.25" customHeight="1" x14ac:dyDescent="0.25">
      <c r="B96" s="1742"/>
      <c r="C96" s="49" t="s">
        <v>8</v>
      </c>
      <c r="D96" s="1582" t="s">
        <v>167</v>
      </c>
      <c r="E96" s="1583"/>
      <c r="F96" s="469" t="s">
        <v>168</v>
      </c>
      <c r="G96" s="630">
        <v>11065000000</v>
      </c>
      <c r="H96" s="630">
        <v>11565000000</v>
      </c>
      <c r="I96" s="146">
        <f t="shared" si="4"/>
        <v>500000000</v>
      </c>
      <c r="J96" s="1394"/>
      <c r="K96" s="1756"/>
    </row>
    <row r="97" spans="2:11" ht="20.25" customHeight="1" x14ac:dyDescent="0.25">
      <c r="B97" s="1742"/>
      <c r="C97" s="39" t="s">
        <v>22</v>
      </c>
      <c r="D97" s="1744" t="s">
        <v>172</v>
      </c>
      <c r="E97" s="1745"/>
      <c r="F97" s="760" t="s">
        <v>230</v>
      </c>
      <c r="G97" s="643">
        <v>3000000000</v>
      </c>
      <c r="H97" s="643">
        <v>6500000000</v>
      </c>
      <c r="I97" s="241">
        <f t="shared" si="4"/>
        <v>3500000000</v>
      </c>
      <c r="J97" s="1397"/>
      <c r="K97" s="1756"/>
    </row>
    <row r="98" spans="2:11" ht="20.25" customHeight="1" x14ac:dyDescent="0.25">
      <c r="B98" s="1742"/>
      <c r="C98" s="771" t="s">
        <v>210</v>
      </c>
      <c r="D98" s="1563" t="s">
        <v>105</v>
      </c>
      <c r="E98" s="1564"/>
      <c r="F98" s="74" t="s">
        <v>464</v>
      </c>
      <c r="G98" s="659">
        <v>0</v>
      </c>
      <c r="H98" s="659">
        <v>300000000</v>
      </c>
      <c r="I98" s="331">
        <f t="shared" si="4"/>
        <v>300000000</v>
      </c>
      <c r="J98" s="1394"/>
      <c r="K98" s="1756"/>
    </row>
    <row r="99" spans="2:11" ht="20.25" customHeight="1" x14ac:dyDescent="0.25">
      <c r="B99" s="1742"/>
      <c r="C99" s="771" t="s">
        <v>439</v>
      </c>
      <c r="D99" s="1563" t="s">
        <v>246</v>
      </c>
      <c r="E99" s="1564"/>
      <c r="F99" s="74" t="s">
        <v>464</v>
      </c>
      <c r="G99" s="659">
        <v>6000000000</v>
      </c>
      <c r="H99" s="659">
        <v>6500000000</v>
      </c>
      <c r="I99" s="331">
        <f t="shared" si="4"/>
        <v>500000000</v>
      </c>
      <c r="J99" s="1394"/>
      <c r="K99" s="1756"/>
    </row>
    <row r="100" spans="2:11" ht="20.25" customHeight="1" x14ac:dyDescent="0.25">
      <c r="B100" s="1742"/>
      <c r="C100" s="771" t="s">
        <v>440</v>
      </c>
      <c r="D100" s="1563" t="s">
        <v>265</v>
      </c>
      <c r="E100" s="1564"/>
      <c r="F100" s="74" t="s">
        <v>464</v>
      </c>
      <c r="G100" s="659">
        <v>1000000000</v>
      </c>
      <c r="H100" s="659">
        <v>500000000</v>
      </c>
      <c r="I100" s="331">
        <f t="shared" si="4"/>
        <v>-500000000</v>
      </c>
      <c r="J100" s="1394"/>
      <c r="K100" s="1756"/>
    </row>
    <row r="101" spans="2:11" ht="20.25" customHeight="1" x14ac:dyDescent="0.25">
      <c r="B101" s="1742"/>
      <c r="C101" s="771" t="s">
        <v>441</v>
      </c>
      <c r="D101" s="1618" t="s">
        <v>270</v>
      </c>
      <c r="E101" s="1620"/>
      <c r="F101" s="855" t="s">
        <v>271</v>
      </c>
      <c r="G101" s="660">
        <v>1045000000</v>
      </c>
      <c r="H101" s="660">
        <v>1545000000</v>
      </c>
      <c r="I101" s="60">
        <f t="shared" si="4"/>
        <v>500000000</v>
      </c>
      <c r="J101" s="1398"/>
      <c r="K101" s="1756"/>
    </row>
    <row r="102" spans="2:11" ht="20.25" customHeight="1" x14ac:dyDescent="0.25">
      <c r="B102" s="1742"/>
      <c r="C102" s="39" t="s">
        <v>442</v>
      </c>
      <c r="D102" s="1563" t="s">
        <v>296</v>
      </c>
      <c r="E102" s="1564"/>
      <c r="F102" s="767" t="s">
        <v>309</v>
      </c>
      <c r="G102" s="617">
        <v>1600000000</v>
      </c>
      <c r="H102" s="617">
        <v>800000000</v>
      </c>
      <c r="I102" s="71">
        <f t="shared" si="4"/>
        <v>-800000000</v>
      </c>
      <c r="J102" s="1399"/>
      <c r="K102" s="1756"/>
    </row>
    <row r="103" spans="2:11" ht="20.25" customHeight="1" x14ac:dyDescent="0.25">
      <c r="B103" s="1742"/>
      <c r="C103" s="771" t="s">
        <v>443</v>
      </c>
      <c r="D103" s="1563" t="s">
        <v>308</v>
      </c>
      <c r="E103" s="1564"/>
      <c r="F103" s="767" t="s">
        <v>309</v>
      </c>
      <c r="G103" s="617">
        <v>2126082971</v>
      </c>
      <c r="H103" s="617">
        <v>600000000</v>
      </c>
      <c r="I103" s="71">
        <f t="shared" si="4"/>
        <v>-1526082971</v>
      </c>
      <c r="J103" s="1399"/>
      <c r="K103" s="1756"/>
    </row>
    <row r="104" spans="2:11" ht="20.25" customHeight="1" x14ac:dyDescent="0.25">
      <c r="B104" s="1742"/>
      <c r="C104" s="771" t="s">
        <v>444</v>
      </c>
      <c r="D104" s="1712" t="s">
        <v>317</v>
      </c>
      <c r="E104" s="1713"/>
      <c r="F104" s="772" t="s">
        <v>318</v>
      </c>
      <c r="G104" s="774">
        <v>100000000</v>
      </c>
      <c r="H104" s="774">
        <v>300000000</v>
      </c>
      <c r="I104" s="775">
        <f t="shared" si="4"/>
        <v>200000000</v>
      </c>
      <c r="J104" s="1400"/>
      <c r="K104" s="1756"/>
    </row>
    <row r="105" spans="2:11" ht="20.25" customHeight="1" x14ac:dyDescent="0.25">
      <c r="B105" s="1742"/>
      <c r="C105" s="771" t="s">
        <v>445</v>
      </c>
      <c r="D105" s="1582" t="s">
        <v>320</v>
      </c>
      <c r="E105" s="1583"/>
      <c r="F105" s="772" t="s">
        <v>321</v>
      </c>
      <c r="G105" s="774">
        <v>200000000</v>
      </c>
      <c r="H105" s="774">
        <v>600000000</v>
      </c>
      <c r="I105" s="775">
        <f t="shared" si="4"/>
        <v>400000000</v>
      </c>
      <c r="J105" s="1401"/>
      <c r="K105" s="1756"/>
    </row>
    <row r="106" spans="2:11" ht="28.5" customHeight="1" x14ac:dyDescent="0.25">
      <c r="B106" s="1742"/>
      <c r="C106" s="771" t="s">
        <v>446</v>
      </c>
      <c r="D106" s="1712" t="s">
        <v>322</v>
      </c>
      <c r="E106" s="1713"/>
      <c r="F106" s="772" t="s">
        <v>323</v>
      </c>
      <c r="G106" s="774">
        <v>100000000</v>
      </c>
      <c r="H106" s="774">
        <v>250000000</v>
      </c>
      <c r="I106" s="775">
        <f t="shared" si="4"/>
        <v>150000000</v>
      </c>
      <c r="J106" s="1402"/>
      <c r="K106" s="1756"/>
    </row>
    <row r="107" spans="2:11" ht="20.25" customHeight="1" x14ac:dyDescent="0.25">
      <c r="B107" s="1742"/>
      <c r="C107" s="39" t="s">
        <v>447</v>
      </c>
      <c r="D107" s="1582" t="s">
        <v>335</v>
      </c>
      <c r="E107" s="1583"/>
      <c r="F107" s="856" t="s">
        <v>336</v>
      </c>
      <c r="G107" s="663">
        <v>2000000000</v>
      </c>
      <c r="H107" s="663">
        <v>2776082971</v>
      </c>
      <c r="I107" s="372">
        <f t="shared" si="4"/>
        <v>776082971</v>
      </c>
      <c r="J107" s="1403"/>
      <c r="K107" s="1756"/>
    </row>
    <row r="108" spans="2:11" ht="2.25" customHeight="1" thickBot="1" x14ac:dyDescent="0.3">
      <c r="B108" s="1742"/>
      <c r="C108" s="420"/>
      <c r="D108" s="422"/>
      <c r="E108" s="423"/>
      <c r="F108" s="424"/>
      <c r="G108" s="672"/>
      <c r="H108" s="672"/>
      <c r="I108" s="426"/>
      <c r="J108" s="1405"/>
      <c r="K108" s="1756"/>
    </row>
    <row r="109" spans="2:11" ht="13.5" thickTop="1" x14ac:dyDescent="0.25">
      <c r="B109" s="1742"/>
      <c r="K109" s="1756"/>
    </row>
  </sheetData>
  <mergeCells count="97">
    <mergeCell ref="D91:E91"/>
    <mergeCell ref="H86:H87"/>
    <mergeCell ref="I86:I87"/>
    <mergeCell ref="J86:J87"/>
    <mergeCell ref="C88:E88"/>
    <mergeCell ref="D89:E89"/>
    <mergeCell ref="D90:E90"/>
    <mergeCell ref="B81:K81"/>
    <mergeCell ref="B82:K82"/>
    <mergeCell ref="D84:E84"/>
    <mergeCell ref="B85:B109"/>
    <mergeCell ref="K85:K109"/>
    <mergeCell ref="C86:C87"/>
    <mergeCell ref="D86:E87"/>
    <mergeCell ref="F86:F87"/>
    <mergeCell ref="G86:G87"/>
    <mergeCell ref="D104:E104"/>
    <mergeCell ref="D105:E105"/>
    <mergeCell ref="D106:E106"/>
    <mergeCell ref="D107:E107"/>
    <mergeCell ref="D98:E98"/>
    <mergeCell ref="D99:E99"/>
    <mergeCell ref="D100:E100"/>
    <mergeCell ref="D101:E101"/>
    <mergeCell ref="D102:E102"/>
    <mergeCell ref="D103:E103"/>
    <mergeCell ref="D92:E92"/>
    <mergeCell ref="D93:E93"/>
    <mergeCell ref="D94:E94"/>
    <mergeCell ref="D95:E95"/>
    <mergeCell ref="D96:E96"/>
    <mergeCell ref="D97:E97"/>
    <mergeCell ref="D58:E58"/>
    <mergeCell ref="D66:E66"/>
    <mergeCell ref="D67:E67"/>
    <mergeCell ref="D68:E68"/>
    <mergeCell ref="D60:E60"/>
    <mergeCell ref="D61:E61"/>
    <mergeCell ref="D62:E62"/>
    <mergeCell ref="D63:E63"/>
    <mergeCell ref="D64:E64"/>
    <mergeCell ref="D65:E65"/>
    <mergeCell ref="D53:E53"/>
    <mergeCell ref="D54:E54"/>
    <mergeCell ref="D55:E55"/>
    <mergeCell ref="D56:E56"/>
    <mergeCell ref="D57:E57"/>
    <mergeCell ref="B43:K43"/>
    <mergeCell ref="D45:E45"/>
    <mergeCell ref="B46:B70"/>
    <mergeCell ref="K46:K70"/>
    <mergeCell ref="C47:C48"/>
    <mergeCell ref="D47:E48"/>
    <mergeCell ref="F47:F48"/>
    <mergeCell ref="G47:G48"/>
    <mergeCell ref="H47:H48"/>
    <mergeCell ref="I47:I48"/>
    <mergeCell ref="D59:E59"/>
    <mergeCell ref="J47:J48"/>
    <mergeCell ref="C49:E49"/>
    <mergeCell ref="D50:E50"/>
    <mergeCell ref="D51:E51"/>
    <mergeCell ref="D52:E52"/>
    <mergeCell ref="D17:E17"/>
    <mergeCell ref="B42:K42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2:E12"/>
    <mergeCell ref="D13:E13"/>
    <mergeCell ref="D14:E14"/>
    <mergeCell ref="D15:E15"/>
    <mergeCell ref="D16:E16"/>
    <mergeCell ref="C2:I2"/>
    <mergeCell ref="C3:K3"/>
    <mergeCell ref="C4:K4"/>
    <mergeCell ref="D6:E6"/>
    <mergeCell ref="B7:B31"/>
    <mergeCell ref="K7:K31"/>
    <mergeCell ref="C8:C9"/>
    <mergeCell ref="D8:E9"/>
    <mergeCell ref="F8:F9"/>
    <mergeCell ref="G8:G9"/>
    <mergeCell ref="D18:E18"/>
    <mergeCell ref="H8:H9"/>
    <mergeCell ref="I8:I9"/>
    <mergeCell ref="J8:J9"/>
    <mergeCell ref="C10:E10"/>
    <mergeCell ref="D11:E11"/>
  </mergeCells>
  <printOptions horizontalCentered="1"/>
  <pageMargins left="0.43307086614173229" right="0.43307086614173229" top="0.59055118110236227" bottom="0.39370078740157483" header="0" footer="0"/>
  <pageSetup paperSize="200" scale="71" orientation="landscape" useFirstPageNumber="1" r:id="rId1"/>
  <headerFooter>
    <oddFooter>&amp;L&amp;"Cambria,Italic"&amp;7&amp;K05-049&amp;F / &amp;A&amp;C&amp;"Cambria,Italic"&amp;7&amp;K04-021Hal &amp;P dari &amp;N&amp;R&amp;"-,Italic"&amp;7&amp;K09-022&amp;D /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M109"/>
  <sheetViews>
    <sheetView topLeftCell="A85" zoomScale="85" zoomScaleNormal="85" zoomScaleSheetLayoutView="130" workbookViewId="0">
      <selection activeCell="D60" sqref="D60:E60"/>
    </sheetView>
  </sheetViews>
  <sheetFormatPr defaultRowHeight="12.75" x14ac:dyDescent="0.25"/>
  <cols>
    <col min="1" max="1" width="9" style="53" customWidth="1"/>
    <col min="2" max="2" width="0.5703125" style="13" customWidth="1"/>
    <col min="3" max="3" width="6.28515625" style="427" customWidth="1"/>
    <col min="4" max="4" width="2.7109375" style="428" customWidth="1"/>
    <col min="5" max="5" width="57.7109375" style="429" customWidth="1"/>
    <col min="6" max="6" width="52" style="430" hidden="1" customWidth="1"/>
    <col min="7" max="7" width="18.42578125" style="432" customWidth="1"/>
    <col min="8" max="8" width="18.5703125" style="432" customWidth="1"/>
    <col min="9" max="9" width="19" style="432" customWidth="1"/>
    <col min="10" max="10" width="67" style="432" customWidth="1"/>
    <col min="11" max="11" width="0.7109375" style="291" customWidth="1"/>
    <col min="12" max="12" width="10.5703125" style="53" customWidth="1"/>
    <col min="13" max="13" width="15.42578125" style="53" customWidth="1"/>
    <col min="14" max="20" width="10.5703125" style="53" customWidth="1"/>
    <col min="21" max="226" width="9.140625" style="53"/>
    <col min="227" max="227" width="1.7109375" style="53" customWidth="1"/>
    <col min="228" max="229" width="4.7109375" style="53" customWidth="1"/>
    <col min="230" max="230" width="54.140625" style="53" customWidth="1"/>
    <col min="231" max="231" width="52" style="53" customWidth="1"/>
    <col min="232" max="232" width="5.28515625" style="53" customWidth="1"/>
    <col min="233" max="233" width="5.85546875" style="53" bestFit="1" customWidth="1"/>
    <col min="234" max="234" width="16.42578125" style="53" customWidth="1"/>
    <col min="235" max="235" width="4.5703125" style="53" customWidth="1"/>
    <col min="236" max="236" width="14.140625" style="53" customWidth="1"/>
    <col min="237" max="237" width="27.140625" style="53" customWidth="1"/>
    <col min="238" max="238" width="16.28515625" style="53" customWidth="1"/>
    <col min="239" max="239" width="13.85546875" style="53" customWidth="1"/>
    <col min="240" max="482" width="9.140625" style="53"/>
    <col min="483" max="483" width="1.7109375" style="53" customWidth="1"/>
    <col min="484" max="485" width="4.7109375" style="53" customWidth="1"/>
    <col min="486" max="486" width="54.140625" style="53" customWidth="1"/>
    <col min="487" max="487" width="52" style="53" customWidth="1"/>
    <col min="488" max="488" width="5.28515625" style="53" customWidth="1"/>
    <col min="489" max="489" width="5.85546875" style="53" bestFit="1" customWidth="1"/>
    <col min="490" max="490" width="16.42578125" style="53" customWidth="1"/>
    <col min="491" max="491" width="4.5703125" style="53" customWidth="1"/>
    <col min="492" max="492" width="14.140625" style="53" customWidth="1"/>
    <col min="493" max="493" width="27.140625" style="53" customWidth="1"/>
    <col min="494" max="494" width="16.28515625" style="53" customWidth="1"/>
    <col min="495" max="495" width="13.85546875" style="53" customWidth="1"/>
    <col min="496" max="738" width="9.140625" style="53"/>
    <col min="739" max="739" width="1.7109375" style="53" customWidth="1"/>
    <col min="740" max="741" width="4.7109375" style="53" customWidth="1"/>
    <col min="742" max="742" width="54.140625" style="53" customWidth="1"/>
    <col min="743" max="743" width="52" style="53" customWidth="1"/>
    <col min="744" max="744" width="5.28515625" style="53" customWidth="1"/>
    <col min="745" max="745" width="5.85546875" style="53" bestFit="1" customWidth="1"/>
    <col min="746" max="746" width="16.42578125" style="53" customWidth="1"/>
    <col min="747" max="747" width="4.5703125" style="53" customWidth="1"/>
    <col min="748" max="748" width="14.140625" style="53" customWidth="1"/>
    <col min="749" max="749" width="27.140625" style="53" customWidth="1"/>
    <col min="750" max="750" width="16.28515625" style="53" customWidth="1"/>
    <col min="751" max="751" width="13.85546875" style="53" customWidth="1"/>
    <col min="752" max="994" width="9.140625" style="53"/>
    <col min="995" max="995" width="1.7109375" style="53" customWidth="1"/>
    <col min="996" max="997" width="4.7109375" style="53" customWidth="1"/>
    <col min="998" max="998" width="54.140625" style="53" customWidth="1"/>
    <col min="999" max="999" width="52" style="53" customWidth="1"/>
    <col min="1000" max="1000" width="5.28515625" style="53" customWidth="1"/>
    <col min="1001" max="1001" width="5.85546875" style="53" bestFit="1" customWidth="1"/>
    <col min="1002" max="1002" width="16.42578125" style="53" customWidth="1"/>
    <col min="1003" max="1003" width="4.5703125" style="53" customWidth="1"/>
    <col min="1004" max="1004" width="14.140625" style="53" customWidth="1"/>
    <col min="1005" max="1005" width="27.140625" style="53" customWidth="1"/>
    <col min="1006" max="1006" width="16.28515625" style="53" customWidth="1"/>
    <col min="1007" max="1007" width="13.85546875" style="53" customWidth="1"/>
    <col min="1008" max="1250" width="9.140625" style="53"/>
    <col min="1251" max="1251" width="1.7109375" style="53" customWidth="1"/>
    <col min="1252" max="1253" width="4.7109375" style="53" customWidth="1"/>
    <col min="1254" max="1254" width="54.140625" style="53" customWidth="1"/>
    <col min="1255" max="1255" width="52" style="53" customWidth="1"/>
    <col min="1256" max="1256" width="5.28515625" style="53" customWidth="1"/>
    <col min="1257" max="1257" width="5.85546875" style="53" bestFit="1" customWidth="1"/>
    <col min="1258" max="1258" width="16.42578125" style="53" customWidth="1"/>
    <col min="1259" max="1259" width="4.5703125" style="53" customWidth="1"/>
    <col min="1260" max="1260" width="14.140625" style="53" customWidth="1"/>
    <col min="1261" max="1261" width="27.140625" style="53" customWidth="1"/>
    <col min="1262" max="1262" width="16.28515625" style="53" customWidth="1"/>
    <col min="1263" max="1263" width="13.85546875" style="53" customWidth="1"/>
    <col min="1264" max="1506" width="9.140625" style="53"/>
    <col min="1507" max="1507" width="1.7109375" style="53" customWidth="1"/>
    <col min="1508" max="1509" width="4.7109375" style="53" customWidth="1"/>
    <col min="1510" max="1510" width="54.140625" style="53" customWidth="1"/>
    <col min="1511" max="1511" width="52" style="53" customWidth="1"/>
    <col min="1512" max="1512" width="5.28515625" style="53" customWidth="1"/>
    <col min="1513" max="1513" width="5.85546875" style="53" bestFit="1" customWidth="1"/>
    <col min="1514" max="1514" width="16.42578125" style="53" customWidth="1"/>
    <col min="1515" max="1515" width="4.5703125" style="53" customWidth="1"/>
    <col min="1516" max="1516" width="14.140625" style="53" customWidth="1"/>
    <col min="1517" max="1517" width="27.140625" style="53" customWidth="1"/>
    <col min="1518" max="1518" width="16.28515625" style="53" customWidth="1"/>
    <col min="1519" max="1519" width="13.85546875" style="53" customWidth="1"/>
    <col min="1520" max="1762" width="9.140625" style="53"/>
    <col min="1763" max="1763" width="1.7109375" style="53" customWidth="1"/>
    <col min="1764" max="1765" width="4.7109375" style="53" customWidth="1"/>
    <col min="1766" max="1766" width="54.140625" style="53" customWidth="1"/>
    <col min="1767" max="1767" width="52" style="53" customWidth="1"/>
    <col min="1768" max="1768" width="5.28515625" style="53" customWidth="1"/>
    <col min="1769" max="1769" width="5.85546875" style="53" bestFit="1" customWidth="1"/>
    <col min="1770" max="1770" width="16.42578125" style="53" customWidth="1"/>
    <col min="1771" max="1771" width="4.5703125" style="53" customWidth="1"/>
    <col min="1772" max="1772" width="14.140625" style="53" customWidth="1"/>
    <col min="1773" max="1773" width="27.140625" style="53" customWidth="1"/>
    <col min="1774" max="1774" width="16.28515625" style="53" customWidth="1"/>
    <col min="1775" max="1775" width="13.85546875" style="53" customWidth="1"/>
    <col min="1776" max="2018" width="9.140625" style="53"/>
    <col min="2019" max="2019" width="1.7109375" style="53" customWidth="1"/>
    <col min="2020" max="2021" width="4.7109375" style="53" customWidth="1"/>
    <col min="2022" max="2022" width="54.140625" style="53" customWidth="1"/>
    <col min="2023" max="2023" width="52" style="53" customWidth="1"/>
    <col min="2024" max="2024" width="5.28515625" style="53" customWidth="1"/>
    <col min="2025" max="2025" width="5.85546875" style="53" bestFit="1" customWidth="1"/>
    <col min="2026" max="2026" width="16.42578125" style="53" customWidth="1"/>
    <col min="2027" max="2027" width="4.5703125" style="53" customWidth="1"/>
    <col min="2028" max="2028" width="14.140625" style="53" customWidth="1"/>
    <col min="2029" max="2029" width="27.140625" style="53" customWidth="1"/>
    <col min="2030" max="2030" width="16.28515625" style="53" customWidth="1"/>
    <col min="2031" max="2031" width="13.85546875" style="53" customWidth="1"/>
    <col min="2032" max="2274" width="9.140625" style="53"/>
    <col min="2275" max="2275" width="1.7109375" style="53" customWidth="1"/>
    <col min="2276" max="2277" width="4.7109375" style="53" customWidth="1"/>
    <col min="2278" max="2278" width="54.140625" style="53" customWidth="1"/>
    <col min="2279" max="2279" width="52" style="53" customWidth="1"/>
    <col min="2280" max="2280" width="5.28515625" style="53" customWidth="1"/>
    <col min="2281" max="2281" width="5.85546875" style="53" bestFit="1" customWidth="1"/>
    <col min="2282" max="2282" width="16.42578125" style="53" customWidth="1"/>
    <col min="2283" max="2283" width="4.5703125" style="53" customWidth="1"/>
    <col min="2284" max="2284" width="14.140625" style="53" customWidth="1"/>
    <col min="2285" max="2285" width="27.140625" style="53" customWidth="1"/>
    <col min="2286" max="2286" width="16.28515625" style="53" customWidth="1"/>
    <col min="2287" max="2287" width="13.85546875" style="53" customWidth="1"/>
    <col min="2288" max="2530" width="9.140625" style="53"/>
    <col min="2531" max="2531" width="1.7109375" style="53" customWidth="1"/>
    <col min="2532" max="2533" width="4.7109375" style="53" customWidth="1"/>
    <col min="2534" max="2534" width="54.140625" style="53" customWidth="1"/>
    <col min="2535" max="2535" width="52" style="53" customWidth="1"/>
    <col min="2536" max="2536" width="5.28515625" style="53" customWidth="1"/>
    <col min="2537" max="2537" width="5.85546875" style="53" bestFit="1" customWidth="1"/>
    <col min="2538" max="2538" width="16.42578125" style="53" customWidth="1"/>
    <col min="2539" max="2539" width="4.5703125" style="53" customWidth="1"/>
    <col min="2540" max="2540" width="14.140625" style="53" customWidth="1"/>
    <col min="2541" max="2541" width="27.140625" style="53" customWidth="1"/>
    <col min="2542" max="2542" width="16.28515625" style="53" customWidth="1"/>
    <col min="2543" max="2543" width="13.85546875" style="53" customWidth="1"/>
    <col min="2544" max="2786" width="9.140625" style="53"/>
    <col min="2787" max="2787" width="1.7109375" style="53" customWidth="1"/>
    <col min="2788" max="2789" width="4.7109375" style="53" customWidth="1"/>
    <col min="2790" max="2790" width="54.140625" style="53" customWidth="1"/>
    <col min="2791" max="2791" width="52" style="53" customWidth="1"/>
    <col min="2792" max="2792" width="5.28515625" style="53" customWidth="1"/>
    <col min="2793" max="2793" width="5.85546875" style="53" bestFit="1" customWidth="1"/>
    <col min="2794" max="2794" width="16.42578125" style="53" customWidth="1"/>
    <col min="2795" max="2795" width="4.5703125" style="53" customWidth="1"/>
    <col min="2796" max="2796" width="14.140625" style="53" customWidth="1"/>
    <col min="2797" max="2797" width="27.140625" style="53" customWidth="1"/>
    <col min="2798" max="2798" width="16.28515625" style="53" customWidth="1"/>
    <col min="2799" max="2799" width="13.85546875" style="53" customWidth="1"/>
    <col min="2800" max="3042" width="9.140625" style="53"/>
    <col min="3043" max="3043" width="1.7109375" style="53" customWidth="1"/>
    <col min="3044" max="3045" width="4.7109375" style="53" customWidth="1"/>
    <col min="3046" max="3046" width="54.140625" style="53" customWidth="1"/>
    <col min="3047" max="3047" width="52" style="53" customWidth="1"/>
    <col min="3048" max="3048" width="5.28515625" style="53" customWidth="1"/>
    <col min="3049" max="3049" width="5.85546875" style="53" bestFit="1" customWidth="1"/>
    <col min="3050" max="3050" width="16.42578125" style="53" customWidth="1"/>
    <col min="3051" max="3051" width="4.5703125" style="53" customWidth="1"/>
    <col min="3052" max="3052" width="14.140625" style="53" customWidth="1"/>
    <col min="3053" max="3053" width="27.140625" style="53" customWidth="1"/>
    <col min="3054" max="3054" width="16.28515625" style="53" customWidth="1"/>
    <col min="3055" max="3055" width="13.85546875" style="53" customWidth="1"/>
    <col min="3056" max="3298" width="9.140625" style="53"/>
    <col min="3299" max="3299" width="1.7109375" style="53" customWidth="1"/>
    <col min="3300" max="3301" width="4.7109375" style="53" customWidth="1"/>
    <col min="3302" max="3302" width="54.140625" style="53" customWidth="1"/>
    <col min="3303" max="3303" width="52" style="53" customWidth="1"/>
    <col min="3304" max="3304" width="5.28515625" style="53" customWidth="1"/>
    <col min="3305" max="3305" width="5.85546875" style="53" bestFit="1" customWidth="1"/>
    <col min="3306" max="3306" width="16.42578125" style="53" customWidth="1"/>
    <col min="3307" max="3307" width="4.5703125" style="53" customWidth="1"/>
    <col min="3308" max="3308" width="14.140625" style="53" customWidth="1"/>
    <col min="3309" max="3309" width="27.140625" style="53" customWidth="1"/>
    <col min="3310" max="3310" width="16.28515625" style="53" customWidth="1"/>
    <col min="3311" max="3311" width="13.85546875" style="53" customWidth="1"/>
    <col min="3312" max="3554" width="9.140625" style="53"/>
    <col min="3555" max="3555" width="1.7109375" style="53" customWidth="1"/>
    <col min="3556" max="3557" width="4.7109375" style="53" customWidth="1"/>
    <col min="3558" max="3558" width="54.140625" style="53" customWidth="1"/>
    <col min="3559" max="3559" width="52" style="53" customWidth="1"/>
    <col min="3560" max="3560" width="5.28515625" style="53" customWidth="1"/>
    <col min="3561" max="3561" width="5.85546875" style="53" bestFit="1" customWidth="1"/>
    <col min="3562" max="3562" width="16.42578125" style="53" customWidth="1"/>
    <col min="3563" max="3563" width="4.5703125" style="53" customWidth="1"/>
    <col min="3564" max="3564" width="14.140625" style="53" customWidth="1"/>
    <col min="3565" max="3565" width="27.140625" style="53" customWidth="1"/>
    <col min="3566" max="3566" width="16.28515625" style="53" customWidth="1"/>
    <col min="3567" max="3567" width="13.85546875" style="53" customWidth="1"/>
    <col min="3568" max="3810" width="9.140625" style="53"/>
    <col min="3811" max="3811" width="1.7109375" style="53" customWidth="1"/>
    <col min="3812" max="3813" width="4.7109375" style="53" customWidth="1"/>
    <col min="3814" max="3814" width="54.140625" style="53" customWidth="1"/>
    <col min="3815" max="3815" width="52" style="53" customWidth="1"/>
    <col min="3816" max="3816" width="5.28515625" style="53" customWidth="1"/>
    <col min="3817" max="3817" width="5.85546875" style="53" bestFit="1" customWidth="1"/>
    <col min="3818" max="3818" width="16.42578125" style="53" customWidth="1"/>
    <col min="3819" max="3819" width="4.5703125" style="53" customWidth="1"/>
    <col min="3820" max="3820" width="14.140625" style="53" customWidth="1"/>
    <col min="3821" max="3821" width="27.140625" style="53" customWidth="1"/>
    <col min="3822" max="3822" width="16.28515625" style="53" customWidth="1"/>
    <col min="3823" max="3823" width="13.85546875" style="53" customWidth="1"/>
    <col min="3824" max="4066" width="9.140625" style="53"/>
    <col min="4067" max="4067" width="1.7109375" style="53" customWidth="1"/>
    <col min="4068" max="4069" width="4.7109375" style="53" customWidth="1"/>
    <col min="4070" max="4070" width="54.140625" style="53" customWidth="1"/>
    <col min="4071" max="4071" width="52" style="53" customWidth="1"/>
    <col min="4072" max="4072" width="5.28515625" style="53" customWidth="1"/>
    <col min="4073" max="4073" width="5.85546875" style="53" bestFit="1" customWidth="1"/>
    <col min="4074" max="4074" width="16.42578125" style="53" customWidth="1"/>
    <col min="4075" max="4075" width="4.5703125" style="53" customWidth="1"/>
    <col min="4076" max="4076" width="14.140625" style="53" customWidth="1"/>
    <col min="4077" max="4077" width="27.140625" style="53" customWidth="1"/>
    <col min="4078" max="4078" width="16.28515625" style="53" customWidth="1"/>
    <col min="4079" max="4079" width="13.85546875" style="53" customWidth="1"/>
    <col min="4080" max="4322" width="9.140625" style="53"/>
    <col min="4323" max="4323" width="1.7109375" style="53" customWidth="1"/>
    <col min="4324" max="4325" width="4.7109375" style="53" customWidth="1"/>
    <col min="4326" max="4326" width="54.140625" style="53" customWidth="1"/>
    <col min="4327" max="4327" width="52" style="53" customWidth="1"/>
    <col min="4328" max="4328" width="5.28515625" style="53" customWidth="1"/>
    <col min="4329" max="4329" width="5.85546875" style="53" bestFit="1" customWidth="1"/>
    <col min="4330" max="4330" width="16.42578125" style="53" customWidth="1"/>
    <col min="4331" max="4331" width="4.5703125" style="53" customWidth="1"/>
    <col min="4332" max="4332" width="14.140625" style="53" customWidth="1"/>
    <col min="4333" max="4333" width="27.140625" style="53" customWidth="1"/>
    <col min="4334" max="4334" width="16.28515625" style="53" customWidth="1"/>
    <col min="4335" max="4335" width="13.85546875" style="53" customWidth="1"/>
    <col min="4336" max="4578" width="9.140625" style="53"/>
    <col min="4579" max="4579" width="1.7109375" style="53" customWidth="1"/>
    <col min="4580" max="4581" width="4.7109375" style="53" customWidth="1"/>
    <col min="4582" max="4582" width="54.140625" style="53" customWidth="1"/>
    <col min="4583" max="4583" width="52" style="53" customWidth="1"/>
    <col min="4584" max="4584" width="5.28515625" style="53" customWidth="1"/>
    <col min="4585" max="4585" width="5.85546875" style="53" bestFit="1" customWidth="1"/>
    <col min="4586" max="4586" width="16.42578125" style="53" customWidth="1"/>
    <col min="4587" max="4587" width="4.5703125" style="53" customWidth="1"/>
    <col min="4588" max="4588" width="14.140625" style="53" customWidth="1"/>
    <col min="4589" max="4589" width="27.140625" style="53" customWidth="1"/>
    <col min="4590" max="4590" width="16.28515625" style="53" customWidth="1"/>
    <col min="4591" max="4591" width="13.85546875" style="53" customWidth="1"/>
    <col min="4592" max="4834" width="9.140625" style="53"/>
    <col min="4835" max="4835" width="1.7109375" style="53" customWidth="1"/>
    <col min="4836" max="4837" width="4.7109375" style="53" customWidth="1"/>
    <col min="4838" max="4838" width="54.140625" style="53" customWidth="1"/>
    <col min="4839" max="4839" width="52" style="53" customWidth="1"/>
    <col min="4840" max="4840" width="5.28515625" style="53" customWidth="1"/>
    <col min="4841" max="4841" width="5.85546875" style="53" bestFit="1" customWidth="1"/>
    <col min="4842" max="4842" width="16.42578125" style="53" customWidth="1"/>
    <col min="4843" max="4843" width="4.5703125" style="53" customWidth="1"/>
    <col min="4844" max="4844" width="14.140625" style="53" customWidth="1"/>
    <col min="4845" max="4845" width="27.140625" style="53" customWidth="1"/>
    <col min="4846" max="4846" width="16.28515625" style="53" customWidth="1"/>
    <col min="4847" max="4847" width="13.85546875" style="53" customWidth="1"/>
    <col min="4848" max="5090" width="9.140625" style="53"/>
    <col min="5091" max="5091" width="1.7109375" style="53" customWidth="1"/>
    <col min="5092" max="5093" width="4.7109375" style="53" customWidth="1"/>
    <col min="5094" max="5094" width="54.140625" style="53" customWidth="1"/>
    <col min="5095" max="5095" width="52" style="53" customWidth="1"/>
    <col min="5096" max="5096" width="5.28515625" style="53" customWidth="1"/>
    <col min="5097" max="5097" width="5.85546875" style="53" bestFit="1" customWidth="1"/>
    <col min="5098" max="5098" width="16.42578125" style="53" customWidth="1"/>
    <col min="5099" max="5099" width="4.5703125" style="53" customWidth="1"/>
    <col min="5100" max="5100" width="14.140625" style="53" customWidth="1"/>
    <col min="5101" max="5101" width="27.140625" style="53" customWidth="1"/>
    <col min="5102" max="5102" width="16.28515625" style="53" customWidth="1"/>
    <col min="5103" max="5103" width="13.85546875" style="53" customWidth="1"/>
    <col min="5104" max="5346" width="9.140625" style="53"/>
    <col min="5347" max="5347" width="1.7109375" style="53" customWidth="1"/>
    <col min="5348" max="5349" width="4.7109375" style="53" customWidth="1"/>
    <col min="5350" max="5350" width="54.140625" style="53" customWidth="1"/>
    <col min="5351" max="5351" width="52" style="53" customWidth="1"/>
    <col min="5352" max="5352" width="5.28515625" style="53" customWidth="1"/>
    <col min="5353" max="5353" width="5.85546875" style="53" bestFit="1" customWidth="1"/>
    <col min="5354" max="5354" width="16.42578125" style="53" customWidth="1"/>
    <col min="5355" max="5355" width="4.5703125" style="53" customWidth="1"/>
    <col min="5356" max="5356" width="14.140625" style="53" customWidth="1"/>
    <col min="5357" max="5357" width="27.140625" style="53" customWidth="1"/>
    <col min="5358" max="5358" width="16.28515625" style="53" customWidth="1"/>
    <col min="5359" max="5359" width="13.85546875" style="53" customWidth="1"/>
    <col min="5360" max="5602" width="9.140625" style="53"/>
    <col min="5603" max="5603" width="1.7109375" style="53" customWidth="1"/>
    <col min="5604" max="5605" width="4.7109375" style="53" customWidth="1"/>
    <col min="5606" max="5606" width="54.140625" style="53" customWidth="1"/>
    <col min="5607" max="5607" width="52" style="53" customWidth="1"/>
    <col min="5608" max="5608" width="5.28515625" style="53" customWidth="1"/>
    <col min="5609" max="5609" width="5.85546875" style="53" bestFit="1" customWidth="1"/>
    <col min="5610" max="5610" width="16.42578125" style="53" customWidth="1"/>
    <col min="5611" max="5611" width="4.5703125" style="53" customWidth="1"/>
    <col min="5612" max="5612" width="14.140625" style="53" customWidth="1"/>
    <col min="5613" max="5613" width="27.140625" style="53" customWidth="1"/>
    <col min="5614" max="5614" width="16.28515625" style="53" customWidth="1"/>
    <col min="5615" max="5615" width="13.85546875" style="53" customWidth="1"/>
    <col min="5616" max="5858" width="9.140625" style="53"/>
    <col min="5859" max="5859" width="1.7109375" style="53" customWidth="1"/>
    <col min="5860" max="5861" width="4.7109375" style="53" customWidth="1"/>
    <col min="5862" max="5862" width="54.140625" style="53" customWidth="1"/>
    <col min="5863" max="5863" width="52" style="53" customWidth="1"/>
    <col min="5864" max="5864" width="5.28515625" style="53" customWidth="1"/>
    <col min="5865" max="5865" width="5.85546875" style="53" bestFit="1" customWidth="1"/>
    <col min="5866" max="5866" width="16.42578125" style="53" customWidth="1"/>
    <col min="5867" max="5867" width="4.5703125" style="53" customWidth="1"/>
    <col min="5868" max="5868" width="14.140625" style="53" customWidth="1"/>
    <col min="5869" max="5869" width="27.140625" style="53" customWidth="1"/>
    <col min="5870" max="5870" width="16.28515625" style="53" customWidth="1"/>
    <col min="5871" max="5871" width="13.85546875" style="53" customWidth="1"/>
    <col min="5872" max="6114" width="9.140625" style="53"/>
    <col min="6115" max="6115" width="1.7109375" style="53" customWidth="1"/>
    <col min="6116" max="6117" width="4.7109375" style="53" customWidth="1"/>
    <col min="6118" max="6118" width="54.140625" style="53" customWidth="1"/>
    <col min="6119" max="6119" width="52" style="53" customWidth="1"/>
    <col min="6120" max="6120" width="5.28515625" style="53" customWidth="1"/>
    <col min="6121" max="6121" width="5.85546875" style="53" bestFit="1" customWidth="1"/>
    <col min="6122" max="6122" width="16.42578125" style="53" customWidth="1"/>
    <col min="6123" max="6123" width="4.5703125" style="53" customWidth="1"/>
    <col min="6124" max="6124" width="14.140625" style="53" customWidth="1"/>
    <col min="6125" max="6125" width="27.140625" style="53" customWidth="1"/>
    <col min="6126" max="6126" width="16.28515625" style="53" customWidth="1"/>
    <col min="6127" max="6127" width="13.85546875" style="53" customWidth="1"/>
    <col min="6128" max="6370" width="9.140625" style="53"/>
    <col min="6371" max="6371" width="1.7109375" style="53" customWidth="1"/>
    <col min="6372" max="6373" width="4.7109375" style="53" customWidth="1"/>
    <col min="6374" max="6374" width="54.140625" style="53" customWidth="1"/>
    <col min="6375" max="6375" width="52" style="53" customWidth="1"/>
    <col min="6376" max="6376" width="5.28515625" style="53" customWidth="1"/>
    <col min="6377" max="6377" width="5.85546875" style="53" bestFit="1" customWidth="1"/>
    <col min="6378" max="6378" width="16.42578125" style="53" customWidth="1"/>
    <col min="6379" max="6379" width="4.5703125" style="53" customWidth="1"/>
    <col min="6380" max="6380" width="14.140625" style="53" customWidth="1"/>
    <col min="6381" max="6381" width="27.140625" style="53" customWidth="1"/>
    <col min="6382" max="6382" width="16.28515625" style="53" customWidth="1"/>
    <col min="6383" max="6383" width="13.85546875" style="53" customWidth="1"/>
    <col min="6384" max="6626" width="9.140625" style="53"/>
    <col min="6627" max="6627" width="1.7109375" style="53" customWidth="1"/>
    <col min="6628" max="6629" width="4.7109375" style="53" customWidth="1"/>
    <col min="6630" max="6630" width="54.140625" style="53" customWidth="1"/>
    <col min="6631" max="6631" width="52" style="53" customWidth="1"/>
    <col min="6632" max="6632" width="5.28515625" style="53" customWidth="1"/>
    <col min="6633" max="6633" width="5.85546875" style="53" bestFit="1" customWidth="1"/>
    <col min="6634" max="6634" width="16.42578125" style="53" customWidth="1"/>
    <col min="6635" max="6635" width="4.5703125" style="53" customWidth="1"/>
    <col min="6636" max="6636" width="14.140625" style="53" customWidth="1"/>
    <col min="6637" max="6637" width="27.140625" style="53" customWidth="1"/>
    <col min="6638" max="6638" width="16.28515625" style="53" customWidth="1"/>
    <col min="6639" max="6639" width="13.85546875" style="53" customWidth="1"/>
    <col min="6640" max="6882" width="9.140625" style="53"/>
    <col min="6883" max="6883" width="1.7109375" style="53" customWidth="1"/>
    <col min="6884" max="6885" width="4.7109375" style="53" customWidth="1"/>
    <col min="6886" max="6886" width="54.140625" style="53" customWidth="1"/>
    <col min="6887" max="6887" width="52" style="53" customWidth="1"/>
    <col min="6888" max="6888" width="5.28515625" style="53" customWidth="1"/>
    <col min="6889" max="6889" width="5.85546875" style="53" bestFit="1" customWidth="1"/>
    <col min="6890" max="6890" width="16.42578125" style="53" customWidth="1"/>
    <col min="6891" max="6891" width="4.5703125" style="53" customWidth="1"/>
    <col min="6892" max="6892" width="14.140625" style="53" customWidth="1"/>
    <col min="6893" max="6893" width="27.140625" style="53" customWidth="1"/>
    <col min="6894" max="6894" width="16.28515625" style="53" customWidth="1"/>
    <col min="6895" max="6895" width="13.85546875" style="53" customWidth="1"/>
    <col min="6896" max="7138" width="9.140625" style="53"/>
    <col min="7139" max="7139" width="1.7109375" style="53" customWidth="1"/>
    <col min="7140" max="7141" width="4.7109375" style="53" customWidth="1"/>
    <col min="7142" max="7142" width="54.140625" style="53" customWidth="1"/>
    <col min="7143" max="7143" width="52" style="53" customWidth="1"/>
    <col min="7144" max="7144" width="5.28515625" style="53" customWidth="1"/>
    <col min="7145" max="7145" width="5.85546875" style="53" bestFit="1" customWidth="1"/>
    <col min="7146" max="7146" width="16.42578125" style="53" customWidth="1"/>
    <col min="7147" max="7147" width="4.5703125" style="53" customWidth="1"/>
    <col min="7148" max="7148" width="14.140625" style="53" customWidth="1"/>
    <col min="7149" max="7149" width="27.140625" style="53" customWidth="1"/>
    <col min="7150" max="7150" width="16.28515625" style="53" customWidth="1"/>
    <col min="7151" max="7151" width="13.85546875" style="53" customWidth="1"/>
    <col min="7152" max="7394" width="9.140625" style="53"/>
    <col min="7395" max="7395" width="1.7109375" style="53" customWidth="1"/>
    <col min="7396" max="7397" width="4.7109375" style="53" customWidth="1"/>
    <col min="7398" max="7398" width="54.140625" style="53" customWidth="1"/>
    <col min="7399" max="7399" width="52" style="53" customWidth="1"/>
    <col min="7400" max="7400" width="5.28515625" style="53" customWidth="1"/>
    <col min="7401" max="7401" width="5.85546875" style="53" bestFit="1" customWidth="1"/>
    <col min="7402" max="7402" width="16.42578125" style="53" customWidth="1"/>
    <col min="7403" max="7403" width="4.5703125" style="53" customWidth="1"/>
    <col min="7404" max="7404" width="14.140625" style="53" customWidth="1"/>
    <col min="7405" max="7405" width="27.140625" style="53" customWidth="1"/>
    <col min="7406" max="7406" width="16.28515625" style="53" customWidth="1"/>
    <col min="7407" max="7407" width="13.85546875" style="53" customWidth="1"/>
    <col min="7408" max="7650" width="9.140625" style="53"/>
    <col min="7651" max="7651" width="1.7109375" style="53" customWidth="1"/>
    <col min="7652" max="7653" width="4.7109375" style="53" customWidth="1"/>
    <col min="7654" max="7654" width="54.140625" style="53" customWidth="1"/>
    <col min="7655" max="7655" width="52" style="53" customWidth="1"/>
    <col min="7656" max="7656" width="5.28515625" style="53" customWidth="1"/>
    <col min="7657" max="7657" width="5.85546875" style="53" bestFit="1" customWidth="1"/>
    <col min="7658" max="7658" width="16.42578125" style="53" customWidth="1"/>
    <col min="7659" max="7659" width="4.5703125" style="53" customWidth="1"/>
    <col min="7660" max="7660" width="14.140625" style="53" customWidth="1"/>
    <col min="7661" max="7661" width="27.140625" style="53" customWidth="1"/>
    <col min="7662" max="7662" width="16.28515625" style="53" customWidth="1"/>
    <col min="7663" max="7663" width="13.85546875" style="53" customWidth="1"/>
    <col min="7664" max="7906" width="9.140625" style="53"/>
    <col min="7907" max="7907" width="1.7109375" style="53" customWidth="1"/>
    <col min="7908" max="7909" width="4.7109375" style="53" customWidth="1"/>
    <col min="7910" max="7910" width="54.140625" style="53" customWidth="1"/>
    <col min="7911" max="7911" width="52" style="53" customWidth="1"/>
    <col min="7912" max="7912" width="5.28515625" style="53" customWidth="1"/>
    <col min="7913" max="7913" width="5.85546875" style="53" bestFit="1" customWidth="1"/>
    <col min="7914" max="7914" width="16.42578125" style="53" customWidth="1"/>
    <col min="7915" max="7915" width="4.5703125" style="53" customWidth="1"/>
    <col min="7916" max="7916" width="14.140625" style="53" customWidth="1"/>
    <col min="7917" max="7917" width="27.140625" style="53" customWidth="1"/>
    <col min="7918" max="7918" width="16.28515625" style="53" customWidth="1"/>
    <col min="7919" max="7919" width="13.85546875" style="53" customWidth="1"/>
    <col min="7920" max="8162" width="9.140625" style="53"/>
    <col min="8163" max="8163" width="1.7109375" style="53" customWidth="1"/>
    <col min="8164" max="8165" width="4.7109375" style="53" customWidth="1"/>
    <col min="8166" max="8166" width="54.140625" style="53" customWidth="1"/>
    <col min="8167" max="8167" width="52" style="53" customWidth="1"/>
    <col min="8168" max="8168" width="5.28515625" style="53" customWidth="1"/>
    <col min="8169" max="8169" width="5.85546875" style="53" bestFit="1" customWidth="1"/>
    <col min="8170" max="8170" width="16.42578125" style="53" customWidth="1"/>
    <col min="8171" max="8171" width="4.5703125" style="53" customWidth="1"/>
    <col min="8172" max="8172" width="14.140625" style="53" customWidth="1"/>
    <col min="8173" max="8173" width="27.140625" style="53" customWidth="1"/>
    <col min="8174" max="8174" width="16.28515625" style="53" customWidth="1"/>
    <col min="8175" max="8175" width="13.85546875" style="53" customWidth="1"/>
    <col min="8176" max="8418" width="9.140625" style="53"/>
    <col min="8419" max="8419" width="1.7109375" style="53" customWidth="1"/>
    <col min="8420" max="8421" width="4.7109375" style="53" customWidth="1"/>
    <col min="8422" max="8422" width="54.140625" style="53" customWidth="1"/>
    <col min="8423" max="8423" width="52" style="53" customWidth="1"/>
    <col min="8424" max="8424" width="5.28515625" style="53" customWidth="1"/>
    <col min="8425" max="8425" width="5.85546875" style="53" bestFit="1" customWidth="1"/>
    <col min="8426" max="8426" width="16.42578125" style="53" customWidth="1"/>
    <col min="8427" max="8427" width="4.5703125" style="53" customWidth="1"/>
    <col min="8428" max="8428" width="14.140625" style="53" customWidth="1"/>
    <col min="8429" max="8429" width="27.140625" style="53" customWidth="1"/>
    <col min="8430" max="8430" width="16.28515625" style="53" customWidth="1"/>
    <col min="8431" max="8431" width="13.85546875" style="53" customWidth="1"/>
    <col min="8432" max="8674" width="9.140625" style="53"/>
    <col min="8675" max="8675" width="1.7109375" style="53" customWidth="1"/>
    <col min="8676" max="8677" width="4.7109375" style="53" customWidth="1"/>
    <col min="8678" max="8678" width="54.140625" style="53" customWidth="1"/>
    <col min="8679" max="8679" width="52" style="53" customWidth="1"/>
    <col min="8680" max="8680" width="5.28515625" style="53" customWidth="1"/>
    <col min="8681" max="8681" width="5.85546875" style="53" bestFit="1" customWidth="1"/>
    <col min="8682" max="8682" width="16.42578125" style="53" customWidth="1"/>
    <col min="8683" max="8683" width="4.5703125" style="53" customWidth="1"/>
    <col min="8684" max="8684" width="14.140625" style="53" customWidth="1"/>
    <col min="8685" max="8685" width="27.140625" style="53" customWidth="1"/>
    <col min="8686" max="8686" width="16.28515625" style="53" customWidth="1"/>
    <col min="8687" max="8687" width="13.85546875" style="53" customWidth="1"/>
    <col min="8688" max="8930" width="9.140625" style="53"/>
    <col min="8931" max="8931" width="1.7109375" style="53" customWidth="1"/>
    <col min="8932" max="8933" width="4.7109375" style="53" customWidth="1"/>
    <col min="8934" max="8934" width="54.140625" style="53" customWidth="1"/>
    <col min="8935" max="8935" width="52" style="53" customWidth="1"/>
    <col min="8936" max="8936" width="5.28515625" style="53" customWidth="1"/>
    <col min="8937" max="8937" width="5.85546875" style="53" bestFit="1" customWidth="1"/>
    <col min="8938" max="8938" width="16.42578125" style="53" customWidth="1"/>
    <col min="8939" max="8939" width="4.5703125" style="53" customWidth="1"/>
    <col min="8940" max="8940" width="14.140625" style="53" customWidth="1"/>
    <col min="8941" max="8941" width="27.140625" style="53" customWidth="1"/>
    <col min="8942" max="8942" width="16.28515625" style="53" customWidth="1"/>
    <col min="8943" max="8943" width="13.85546875" style="53" customWidth="1"/>
    <col min="8944" max="9186" width="9.140625" style="53"/>
    <col min="9187" max="9187" width="1.7109375" style="53" customWidth="1"/>
    <col min="9188" max="9189" width="4.7109375" style="53" customWidth="1"/>
    <col min="9190" max="9190" width="54.140625" style="53" customWidth="1"/>
    <col min="9191" max="9191" width="52" style="53" customWidth="1"/>
    <col min="9192" max="9192" width="5.28515625" style="53" customWidth="1"/>
    <col min="9193" max="9193" width="5.85546875" style="53" bestFit="1" customWidth="1"/>
    <col min="9194" max="9194" width="16.42578125" style="53" customWidth="1"/>
    <col min="9195" max="9195" width="4.5703125" style="53" customWidth="1"/>
    <col min="9196" max="9196" width="14.140625" style="53" customWidth="1"/>
    <col min="9197" max="9197" width="27.140625" style="53" customWidth="1"/>
    <col min="9198" max="9198" width="16.28515625" style="53" customWidth="1"/>
    <col min="9199" max="9199" width="13.85546875" style="53" customWidth="1"/>
    <col min="9200" max="9442" width="9.140625" style="53"/>
    <col min="9443" max="9443" width="1.7109375" style="53" customWidth="1"/>
    <col min="9444" max="9445" width="4.7109375" style="53" customWidth="1"/>
    <col min="9446" max="9446" width="54.140625" style="53" customWidth="1"/>
    <col min="9447" max="9447" width="52" style="53" customWidth="1"/>
    <col min="9448" max="9448" width="5.28515625" style="53" customWidth="1"/>
    <col min="9449" max="9449" width="5.85546875" style="53" bestFit="1" customWidth="1"/>
    <col min="9450" max="9450" width="16.42578125" style="53" customWidth="1"/>
    <col min="9451" max="9451" width="4.5703125" style="53" customWidth="1"/>
    <col min="9452" max="9452" width="14.140625" style="53" customWidth="1"/>
    <col min="9453" max="9453" width="27.140625" style="53" customWidth="1"/>
    <col min="9454" max="9454" width="16.28515625" style="53" customWidth="1"/>
    <col min="9455" max="9455" width="13.85546875" style="53" customWidth="1"/>
    <col min="9456" max="9698" width="9.140625" style="53"/>
    <col min="9699" max="9699" width="1.7109375" style="53" customWidth="1"/>
    <col min="9700" max="9701" width="4.7109375" style="53" customWidth="1"/>
    <col min="9702" max="9702" width="54.140625" style="53" customWidth="1"/>
    <col min="9703" max="9703" width="52" style="53" customWidth="1"/>
    <col min="9704" max="9704" width="5.28515625" style="53" customWidth="1"/>
    <col min="9705" max="9705" width="5.85546875" style="53" bestFit="1" customWidth="1"/>
    <col min="9706" max="9706" width="16.42578125" style="53" customWidth="1"/>
    <col min="9707" max="9707" width="4.5703125" style="53" customWidth="1"/>
    <col min="9708" max="9708" width="14.140625" style="53" customWidth="1"/>
    <col min="9709" max="9709" width="27.140625" style="53" customWidth="1"/>
    <col min="9710" max="9710" width="16.28515625" style="53" customWidth="1"/>
    <col min="9711" max="9711" width="13.85546875" style="53" customWidth="1"/>
    <col min="9712" max="9954" width="9.140625" style="53"/>
    <col min="9955" max="9955" width="1.7109375" style="53" customWidth="1"/>
    <col min="9956" max="9957" width="4.7109375" style="53" customWidth="1"/>
    <col min="9958" max="9958" width="54.140625" style="53" customWidth="1"/>
    <col min="9959" max="9959" width="52" style="53" customWidth="1"/>
    <col min="9960" max="9960" width="5.28515625" style="53" customWidth="1"/>
    <col min="9961" max="9961" width="5.85546875" style="53" bestFit="1" customWidth="1"/>
    <col min="9962" max="9962" width="16.42578125" style="53" customWidth="1"/>
    <col min="9963" max="9963" width="4.5703125" style="53" customWidth="1"/>
    <col min="9964" max="9964" width="14.140625" style="53" customWidth="1"/>
    <col min="9965" max="9965" width="27.140625" style="53" customWidth="1"/>
    <col min="9966" max="9966" width="16.28515625" style="53" customWidth="1"/>
    <col min="9967" max="9967" width="13.85546875" style="53" customWidth="1"/>
    <col min="9968" max="10210" width="9.140625" style="53"/>
    <col min="10211" max="10211" width="1.7109375" style="53" customWidth="1"/>
    <col min="10212" max="10213" width="4.7109375" style="53" customWidth="1"/>
    <col min="10214" max="10214" width="54.140625" style="53" customWidth="1"/>
    <col min="10215" max="10215" width="52" style="53" customWidth="1"/>
    <col min="10216" max="10216" width="5.28515625" style="53" customWidth="1"/>
    <col min="10217" max="10217" width="5.85546875" style="53" bestFit="1" customWidth="1"/>
    <col min="10218" max="10218" width="16.42578125" style="53" customWidth="1"/>
    <col min="10219" max="10219" width="4.5703125" style="53" customWidth="1"/>
    <col min="10220" max="10220" width="14.140625" style="53" customWidth="1"/>
    <col min="10221" max="10221" width="27.140625" style="53" customWidth="1"/>
    <col min="10222" max="10222" width="16.28515625" style="53" customWidth="1"/>
    <col min="10223" max="10223" width="13.85546875" style="53" customWidth="1"/>
    <col min="10224" max="10466" width="9.140625" style="53"/>
    <col min="10467" max="10467" width="1.7109375" style="53" customWidth="1"/>
    <col min="10468" max="10469" width="4.7109375" style="53" customWidth="1"/>
    <col min="10470" max="10470" width="54.140625" style="53" customWidth="1"/>
    <col min="10471" max="10471" width="52" style="53" customWidth="1"/>
    <col min="10472" max="10472" width="5.28515625" style="53" customWidth="1"/>
    <col min="10473" max="10473" width="5.85546875" style="53" bestFit="1" customWidth="1"/>
    <col min="10474" max="10474" width="16.42578125" style="53" customWidth="1"/>
    <col min="10475" max="10475" width="4.5703125" style="53" customWidth="1"/>
    <col min="10476" max="10476" width="14.140625" style="53" customWidth="1"/>
    <col min="10477" max="10477" width="27.140625" style="53" customWidth="1"/>
    <col min="10478" max="10478" width="16.28515625" style="53" customWidth="1"/>
    <col min="10479" max="10479" width="13.85546875" style="53" customWidth="1"/>
    <col min="10480" max="10722" width="9.140625" style="53"/>
    <col min="10723" max="10723" width="1.7109375" style="53" customWidth="1"/>
    <col min="10724" max="10725" width="4.7109375" style="53" customWidth="1"/>
    <col min="10726" max="10726" width="54.140625" style="53" customWidth="1"/>
    <col min="10727" max="10727" width="52" style="53" customWidth="1"/>
    <col min="10728" max="10728" width="5.28515625" style="53" customWidth="1"/>
    <col min="10729" max="10729" width="5.85546875" style="53" bestFit="1" customWidth="1"/>
    <col min="10730" max="10730" width="16.42578125" style="53" customWidth="1"/>
    <col min="10731" max="10731" width="4.5703125" style="53" customWidth="1"/>
    <col min="10732" max="10732" width="14.140625" style="53" customWidth="1"/>
    <col min="10733" max="10733" width="27.140625" style="53" customWidth="1"/>
    <col min="10734" max="10734" width="16.28515625" style="53" customWidth="1"/>
    <col min="10735" max="10735" width="13.85546875" style="53" customWidth="1"/>
    <col min="10736" max="10978" width="9.140625" style="53"/>
    <col min="10979" max="10979" width="1.7109375" style="53" customWidth="1"/>
    <col min="10980" max="10981" width="4.7109375" style="53" customWidth="1"/>
    <col min="10982" max="10982" width="54.140625" style="53" customWidth="1"/>
    <col min="10983" max="10983" width="52" style="53" customWidth="1"/>
    <col min="10984" max="10984" width="5.28515625" style="53" customWidth="1"/>
    <col min="10985" max="10985" width="5.85546875" style="53" bestFit="1" customWidth="1"/>
    <col min="10986" max="10986" width="16.42578125" style="53" customWidth="1"/>
    <col min="10987" max="10987" width="4.5703125" style="53" customWidth="1"/>
    <col min="10988" max="10988" width="14.140625" style="53" customWidth="1"/>
    <col min="10989" max="10989" width="27.140625" style="53" customWidth="1"/>
    <col min="10990" max="10990" width="16.28515625" style="53" customWidth="1"/>
    <col min="10991" max="10991" width="13.85546875" style="53" customWidth="1"/>
    <col min="10992" max="11234" width="9.140625" style="53"/>
    <col min="11235" max="11235" width="1.7109375" style="53" customWidth="1"/>
    <col min="11236" max="11237" width="4.7109375" style="53" customWidth="1"/>
    <col min="11238" max="11238" width="54.140625" style="53" customWidth="1"/>
    <col min="11239" max="11239" width="52" style="53" customWidth="1"/>
    <col min="11240" max="11240" width="5.28515625" style="53" customWidth="1"/>
    <col min="11241" max="11241" width="5.85546875" style="53" bestFit="1" customWidth="1"/>
    <col min="11242" max="11242" width="16.42578125" style="53" customWidth="1"/>
    <col min="11243" max="11243" width="4.5703125" style="53" customWidth="1"/>
    <col min="11244" max="11244" width="14.140625" style="53" customWidth="1"/>
    <col min="11245" max="11245" width="27.140625" style="53" customWidth="1"/>
    <col min="11246" max="11246" width="16.28515625" style="53" customWidth="1"/>
    <col min="11247" max="11247" width="13.85546875" style="53" customWidth="1"/>
    <col min="11248" max="11490" width="9.140625" style="53"/>
    <col min="11491" max="11491" width="1.7109375" style="53" customWidth="1"/>
    <col min="11492" max="11493" width="4.7109375" style="53" customWidth="1"/>
    <col min="11494" max="11494" width="54.140625" style="53" customWidth="1"/>
    <col min="11495" max="11495" width="52" style="53" customWidth="1"/>
    <col min="11496" max="11496" width="5.28515625" style="53" customWidth="1"/>
    <col min="11497" max="11497" width="5.85546875" style="53" bestFit="1" customWidth="1"/>
    <col min="11498" max="11498" width="16.42578125" style="53" customWidth="1"/>
    <col min="11499" max="11499" width="4.5703125" style="53" customWidth="1"/>
    <col min="11500" max="11500" width="14.140625" style="53" customWidth="1"/>
    <col min="11501" max="11501" width="27.140625" style="53" customWidth="1"/>
    <col min="11502" max="11502" width="16.28515625" style="53" customWidth="1"/>
    <col min="11503" max="11503" width="13.85546875" style="53" customWidth="1"/>
    <col min="11504" max="11746" width="9.140625" style="53"/>
    <col min="11747" max="11747" width="1.7109375" style="53" customWidth="1"/>
    <col min="11748" max="11749" width="4.7109375" style="53" customWidth="1"/>
    <col min="11750" max="11750" width="54.140625" style="53" customWidth="1"/>
    <col min="11751" max="11751" width="52" style="53" customWidth="1"/>
    <col min="11752" max="11752" width="5.28515625" style="53" customWidth="1"/>
    <col min="11753" max="11753" width="5.85546875" style="53" bestFit="1" customWidth="1"/>
    <col min="11754" max="11754" width="16.42578125" style="53" customWidth="1"/>
    <col min="11755" max="11755" width="4.5703125" style="53" customWidth="1"/>
    <col min="11756" max="11756" width="14.140625" style="53" customWidth="1"/>
    <col min="11757" max="11757" width="27.140625" style="53" customWidth="1"/>
    <col min="11758" max="11758" width="16.28515625" style="53" customWidth="1"/>
    <col min="11759" max="11759" width="13.85546875" style="53" customWidth="1"/>
    <col min="11760" max="12002" width="9.140625" style="53"/>
    <col min="12003" max="12003" width="1.7109375" style="53" customWidth="1"/>
    <col min="12004" max="12005" width="4.7109375" style="53" customWidth="1"/>
    <col min="12006" max="12006" width="54.140625" style="53" customWidth="1"/>
    <col min="12007" max="12007" width="52" style="53" customWidth="1"/>
    <col min="12008" max="12008" width="5.28515625" style="53" customWidth="1"/>
    <col min="12009" max="12009" width="5.85546875" style="53" bestFit="1" customWidth="1"/>
    <col min="12010" max="12010" width="16.42578125" style="53" customWidth="1"/>
    <col min="12011" max="12011" width="4.5703125" style="53" customWidth="1"/>
    <col min="12012" max="12012" width="14.140625" style="53" customWidth="1"/>
    <col min="12013" max="12013" width="27.140625" style="53" customWidth="1"/>
    <col min="12014" max="12014" width="16.28515625" style="53" customWidth="1"/>
    <col min="12015" max="12015" width="13.85546875" style="53" customWidth="1"/>
    <col min="12016" max="12258" width="9.140625" style="53"/>
    <col min="12259" max="12259" width="1.7109375" style="53" customWidth="1"/>
    <col min="12260" max="12261" width="4.7109375" style="53" customWidth="1"/>
    <col min="12262" max="12262" width="54.140625" style="53" customWidth="1"/>
    <col min="12263" max="12263" width="52" style="53" customWidth="1"/>
    <col min="12264" max="12264" width="5.28515625" style="53" customWidth="1"/>
    <col min="12265" max="12265" width="5.85546875" style="53" bestFit="1" customWidth="1"/>
    <col min="12266" max="12266" width="16.42578125" style="53" customWidth="1"/>
    <col min="12267" max="12267" width="4.5703125" style="53" customWidth="1"/>
    <col min="12268" max="12268" width="14.140625" style="53" customWidth="1"/>
    <col min="12269" max="12269" width="27.140625" style="53" customWidth="1"/>
    <col min="12270" max="12270" width="16.28515625" style="53" customWidth="1"/>
    <col min="12271" max="12271" width="13.85546875" style="53" customWidth="1"/>
    <col min="12272" max="12514" width="9.140625" style="53"/>
    <col min="12515" max="12515" width="1.7109375" style="53" customWidth="1"/>
    <col min="12516" max="12517" width="4.7109375" style="53" customWidth="1"/>
    <col min="12518" max="12518" width="54.140625" style="53" customWidth="1"/>
    <col min="12519" max="12519" width="52" style="53" customWidth="1"/>
    <col min="12520" max="12520" width="5.28515625" style="53" customWidth="1"/>
    <col min="12521" max="12521" width="5.85546875" style="53" bestFit="1" customWidth="1"/>
    <col min="12522" max="12522" width="16.42578125" style="53" customWidth="1"/>
    <col min="12523" max="12523" width="4.5703125" style="53" customWidth="1"/>
    <col min="12524" max="12524" width="14.140625" style="53" customWidth="1"/>
    <col min="12525" max="12525" width="27.140625" style="53" customWidth="1"/>
    <col min="12526" max="12526" width="16.28515625" style="53" customWidth="1"/>
    <col min="12527" max="12527" width="13.85546875" style="53" customWidth="1"/>
    <col min="12528" max="12770" width="9.140625" style="53"/>
    <col min="12771" max="12771" width="1.7109375" style="53" customWidth="1"/>
    <col min="12772" max="12773" width="4.7109375" style="53" customWidth="1"/>
    <col min="12774" max="12774" width="54.140625" style="53" customWidth="1"/>
    <col min="12775" max="12775" width="52" style="53" customWidth="1"/>
    <col min="12776" max="12776" width="5.28515625" style="53" customWidth="1"/>
    <col min="12777" max="12777" width="5.85546875" style="53" bestFit="1" customWidth="1"/>
    <col min="12778" max="12778" width="16.42578125" style="53" customWidth="1"/>
    <col min="12779" max="12779" width="4.5703125" style="53" customWidth="1"/>
    <col min="12780" max="12780" width="14.140625" style="53" customWidth="1"/>
    <col min="12781" max="12781" width="27.140625" style="53" customWidth="1"/>
    <col min="12782" max="12782" width="16.28515625" style="53" customWidth="1"/>
    <col min="12783" max="12783" width="13.85546875" style="53" customWidth="1"/>
    <col min="12784" max="13026" width="9.140625" style="53"/>
    <col min="13027" max="13027" width="1.7109375" style="53" customWidth="1"/>
    <col min="13028" max="13029" width="4.7109375" style="53" customWidth="1"/>
    <col min="13030" max="13030" width="54.140625" style="53" customWidth="1"/>
    <col min="13031" max="13031" width="52" style="53" customWidth="1"/>
    <col min="13032" max="13032" width="5.28515625" style="53" customWidth="1"/>
    <col min="13033" max="13033" width="5.85546875" style="53" bestFit="1" customWidth="1"/>
    <col min="13034" max="13034" width="16.42578125" style="53" customWidth="1"/>
    <col min="13035" max="13035" width="4.5703125" style="53" customWidth="1"/>
    <col min="13036" max="13036" width="14.140625" style="53" customWidth="1"/>
    <col min="13037" max="13037" width="27.140625" style="53" customWidth="1"/>
    <col min="13038" max="13038" width="16.28515625" style="53" customWidth="1"/>
    <col min="13039" max="13039" width="13.85546875" style="53" customWidth="1"/>
    <col min="13040" max="13282" width="9.140625" style="53"/>
    <col min="13283" max="13283" width="1.7109375" style="53" customWidth="1"/>
    <col min="13284" max="13285" width="4.7109375" style="53" customWidth="1"/>
    <col min="13286" max="13286" width="54.140625" style="53" customWidth="1"/>
    <col min="13287" max="13287" width="52" style="53" customWidth="1"/>
    <col min="13288" max="13288" width="5.28515625" style="53" customWidth="1"/>
    <col min="13289" max="13289" width="5.85546875" style="53" bestFit="1" customWidth="1"/>
    <col min="13290" max="13290" width="16.42578125" style="53" customWidth="1"/>
    <col min="13291" max="13291" width="4.5703125" style="53" customWidth="1"/>
    <col min="13292" max="13292" width="14.140625" style="53" customWidth="1"/>
    <col min="13293" max="13293" width="27.140625" style="53" customWidth="1"/>
    <col min="13294" max="13294" width="16.28515625" style="53" customWidth="1"/>
    <col min="13295" max="13295" width="13.85546875" style="53" customWidth="1"/>
    <col min="13296" max="13538" width="9.140625" style="53"/>
    <col min="13539" max="13539" width="1.7109375" style="53" customWidth="1"/>
    <col min="13540" max="13541" width="4.7109375" style="53" customWidth="1"/>
    <col min="13542" max="13542" width="54.140625" style="53" customWidth="1"/>
    <col min="13543" max="13543" width="52" style="53" customWidth="1"/>
    <col min="13544" max="13544" width="5.28515625" style="53" customWidth="1"/>
    <col min="13545" max="13545" width="5.85546875" style="53" bestFit="1" customWidth="1"/>
    <col min="13546" max="13546" width="16.42578125" style="53" customWidth="1"/>
    <col min="13547" max="13547" width="4.5703125" style="53" customWidth="1"/>
    <col min="13548" max="13548" width="14.140625" style="53" customWidth="1"/>
    <col min="13549" max="13549" width="27.140625" style="53" customWidth="1"/>
    <col min="13550" max="13550" width="16.28515625" style="53" customWidth="1"/>
    <col min="13551" max="13551" width="13.85546875" style="53" customWidth="1"/>
    <col min="13552" max="13794" width="9.140625" style="53"/>
    <col min="13795" max="13795" width="1.7109375" style="53" customWidth="1"/>
    <col min="13796" max="13797" width="4.7109375" style="53" customWidth="1"/>
    <col min="13798" max="13798" width="54.140625" style="53" customWidth="1"/>
    <col min="13799" max="13799" width="52" style="53" customWidth="1"/>
    <col min="13800" max="13800" width="5.28515625" style="53" customWidth="1"/>
    <col min="13801" max="13801" width="5.85546875" style="53" bestFit="1" customWidth="1"/>
    <col min="13802" max="13802" width="16.42578125" style="53" customWidth="1"/>
    <col min="13803" max="13803" width="4.5703125" style="53" customWidth="1"/>
    <col min="13804" max="13804" width="14.140625" style="53" customWidth="1"/>
    <col min="13805" max="13805" width="27.140625" style="53" customWidth="1"/>
    <col min="13806" max="13806" width="16.28515625" style="53" customWidth="1"/>
    <col min="13807" max="13807" width="13.85546875" style="53" customWidth="1"/>
    <col min="13808" max="14050" width="9.140625" style="53"/>
    <col min="14051" max="14051" width="1.7109375" style="53" customWidth="1"/>
    <col min="14052" max="14053" width="4.7109375" style="53" customWidth="1"/>
    <col min="14054" max="14054" width="54.140625" style="53" customWidth="1"/>
    <col min="14055" max="14055" width="52" style="53" customWidth="1"/>
    <col min="14056" max="14056" width="5.28515625" style="53" customWidth="1"/>
    <col min="14057" max="14057" width="5.85546875" style="53" bestFit="1" customWidth="1"/>
    <col min="14058" max="14058" width="16.42578125" style="53" customWidth="1"/>
    <col min="14059" max="14059" width="4.5703125" style="53" customWidth="1"/>
    <col min="14060" max="14060" width="14.140625" style="53" customWidth="1"/>
    <col min="14061" max="14061" width="27.140625" style="53" customWidth="1"/>
    <col min="14062" max="14062" width="16.28515625" style="53" customWidth="1"/>
    <col min="14063" max="14063" width="13.85546875" style="53" customWidth="1"/>
    <col min="14064" max="14306" width="9.140625" style="53"/>
    <col min="14307" max="14307" width="1.7109375" style="53" customWidth="1"/>
    <col min="14308" max="14309" width="4.7109375" style="53" customWidth="1"/>
    <col min="14310" max="14310" width="54.140625" style="53" customWidth="1"/>
    <col min="14311" max="14311" width="52" style="53" customWidth="1"/>
    <col min="14312" max="14312" width="5.28515625" style="53" customWidth="1"/>
    <col min="14313" max="14313" width="5.85546875" style="53" bestFit="1" customWidth="1"/>
    <col min="14314" max="14314" width="16.42578125" style="53" customWidth="1"/>
    <col min="14315" max="14315" width="4.5703125" style="53" customWidth="1"/>
    <col min="14316" max="14316" width="14.140625" style="53" customWidth="1"/>
    <col min="14317" max="14317" width="27.140625" style="53" customWidth="1"/>
    <col min="14318" max="14318" width="16.28515625" style="53" customWidth="1"/>
    <col min="14319" max="14319" width="13.85546875" style="53" customWidth="1"/>
    <col min="14320" max="14562" width="9.140625" style="53"/>
    <col min="14563" max="14563" width="1.7109375" style="53" customWidth="1"/>
    <col min="14564" max="14565" width="4.7109375" style="53" customWidth="1"/>
    <col min="14566" max="14566" width="54.140625" style="53" customWidth="1"/>
    <col min="14567" max="14567" width="52" style="53" customWidth="1"/>
    <col min="14568" max="14568" width="5.28515625" style="53" customWidth="1"/>
    <col min="14569" max="14569" width="5.85546875" style="53" bestFit="1" customWidth="1"/>
    <col min="14570" max="14570" width="16.42578125" style="53" customWidth="1"/>
    <col min="14571" max="14571" width="4.5703125" style="53" customWidth="1"/>
    <col min="14572" max="14572" width="14.140625" style="53" customWidth="1"/>
    <col min="14573" max="14573" width="27.140625" style="53" customWidth="1"/>
    <col min="14574" max="14574" width="16.28515625" style="53" customWidth="1"/>
    <col min="14575" max="14575" width="13.85546875" style="53" customWidth="1"/>
    <col min="14576" max="14818" width="9.140625" style="53"/>
    <col min="14819" max="14819" width="1.7109375" style="53" customWidth="1"/>
    <col min="14820" max="14821" width="4.7109375" style="53" customWidth="1"/>
    <col min="14822" max="14822" width="54.140625" style="53" customWidth="1"/>
    <col min="14823" max="14823" width="52" style="53" customWidth="1"/>
    <col min="14824" max="14824" width="5.28515625" style="53" customWidth="1"/>
    <col min="14825" max="14825" width="5.85546875" style="53" bestFit="1" customWidth="1"/>
    <col min="14826" max="14826" width="16.42578125" style="53" customWidth="1"/>
    <col min="14827" max="14827" width="4.5703125" style="53" customWidth="1"/>
    <col min="14828" max="14828" width="14.140625" style="53" customWidth="1"/>
    <col min="14829" max="14829" width="27.140625" style="53" customWidth="1"/>
    <col min="14830" max="14830" width="16.28515625" style="53" customWidth="1"/>
    <col min="14831" max="14831" width="13.85546875" style="53" customWidth="1"/>
    <col min="14832" max="15074" width="9.140625" style="53"/>
    <col min="15075" max="15075" width="1.7109375" style="53" customWidth="1"/>
    <col min="15076" max="15077" width="4.7109375" style="53" customWidth="1"/>
    <col min="15078" max="15078" width="54.140625" style="53" customWidth="1"/>
    <col min="15079" max="15079" width="52" style="53" customWidth="1"/>
    <col min="15080" max="15080" width="5.28515625" style="53" customWidth="1"/>
    <col min="15081" max="15081" width="5.85546875" style="53" bestFit="1" customWidth="1"/>
    <col min="15082" max="15082" width="16.42578125" style="53" customWidth="1"/>
    <col min="15083" max="15083" width="4.5703125" style="53" customWidth="1"/>
    <col min="15084" max="15084" width="14.140625" style="53" customWidth="1"/>
    <col min="15085" max="15085" width="27.140625" style="53" customWidth="1"/>
    <col min="15086" max="15086" width="16.28515625" style="53" customWidth="1"/>
    <col min="15087" max="15087" width="13.85546875" style="53" customWidth="1"/>
    <col min="15088" max="15330" width="9.140625" style="53"/>
    <col min="15331" max="15331" width="1.7109375" style="53" customWidth="1"/>
    <col min="15332" max="15333" width="4.7109375" style="53" customWidth="1"/>
    <col min="15334" max="15334" width="54.140625" style="53" customWidth="1"/>
    <col min="15335" max="15335" width="52" style="53" customWidth="1"/>
    <col min="15336" max="15336" width="5.28515625" style="53" customWidth="1"/>
    <col min="15337" max="15337" width="5.85546875" style="53" bestFit="1" customWidth="1"/>
    <col min="15338" max="15338" width="16.42578125" style="53" customWidth="1"/>
    <col min="15339" max="15339" width="4.5703125" style="53" customWidth="1"/>
    <col min="15340" max="15340" width="14.140625" style="53" customWidth="1"/>
    <col min="15341" max="15341" width="27.140625" style="53" customWidth="1"/>
    <col min="15342" max="15342" width="16.28515625" style="53" customWidth="1"/>
    <col min="15343" max="15343" width="13.85546875" style="53" customWidth="1"/>
    <col min="15344" max="15586" width="9.140625" style="53"/>
    <col min="15587" max="15587" width="1.7109375" style="53" customWidth="1"/>
    <col min="15588" max="15589" width="4.7109375" style="53" customWidth="1"/>
    <col min="15590" max="15590" width="54.140625" style="53" customWidth="1"/>
    <col min="15591" max="15591" width="52" style="53" customWidth="1"/>
    <col min="15592" max="15592" width="5.28515625" style="53" customWidth="1"/>
    <col min="15593" max="15593" width="5.85546875" style="53" bestFit="1" customWidth="1"/>
    <col min="15594" max="15594" width="16.42578125" style="53" customWidth="1"/>
    <col min="15595" max="15595" width="4.5703125" style="53" customWidth="1"/>
    <col min="15596" max="15596" width="14.140625" style="53" customWidth="1"/>
    <col min="15597" max="15597" width="27.140625" style="53" customWidth="1"/>
    <col min="15598" max="15598" width="16.28515625" style="53" customWidth="1"/>
    <col min="15599" max="15599" width="13.85546875" style="53" customWidth="1"/>
    <col min="15600" max="15842" width="9.140625" style="53"/>
    <col min="15843" max="15843" width="1.7109375" style="53" customWidth="1"/>
    <col min="15844" max="15845" width="4.7109375" style="53" customWidth="1"/>
    <col min="15846" max="15846" width="54.140625" style="53" customWidth="1"/>
    <col min="15847" max="15847" width="52" style="53" customWidth="1"/>
    <col min="15848" max="15848" width="5.28515625" style="53" customWidth="1"/>
    <col min="15849" max="15849" width="5.85546875" style="53" bestFit="1" customWidth="1"/>
    <col min="15850" max="15850" width="16.42578125" style="53" customWidth="1"/>
    <col min="15851" max="15851" width="4.5703125" style="53" customWidth="1"/>
    <col min="15852" max="15852" width="14.140625" style="53" customWidth="1"/>
    <col min="15853" max="15853" width="27.140625" style="53" customWidth="1"/>
    <col min="15854" max="15854" width="16.28515625" style="53" customWidth="1"/>
    <col min="15855" max="15855" width="13.85546875" style="53" customWidth="1"/>
    <col min="15856" max="16098" width="9.140625" style="53"/>
    <col min="16099" max="16099" width="1.7109375" style="53" customWidth="1"/>
    <col min="16100" max="16101" width="4.7109375" style="53" customWidth="1"/>
    <col min="16102" max="16102" width="54.140625" style="53" customWidth="1"/>
    <col min="16103" max="16103" width="52" style="53" customWidth="1"/>
    <col min="16104" max="16104" width="5.28515625" style="53" customWidth="1"/>
    <col min="16105" max="16105" width="5.85546875" style="53" bestFit="1" customWidth="1"/>
    <col min="16106" max="16106" width="16.42578125" style="53" customWidth="1"/>
    <col min="16107" max="16107" width="4.5703125" style="53" customWidth="1"/>
    <col min="16108" max="16108" width="14.140625" style="53" customWidth="1"/>
    <col min="16109" max="16109" width="27.140625" style="53" customWidth="1"/>
    <col min="16110" max="16110" width="16.28515625" style="53" customWidth="1"/>
    <col min="16111" max="16111" width="13.85546875" style="53" customWidth="1"/>
    <col min="16112" max="16384" width="9.140625" style="53"/>
  </cols>
  <sheetData>
    <row r="1" spans="2:13" ht="15" customHeight="1" x14ac:dyDescent="0.25"/>
    <row r="2" spans="2:13" s="5" customFormat="1" ht="15.75" hidden="1" x14ac:dyDescent="0.25">
      <c r="B2" s="1409"/>
      <c r="C2" s="1645" t="s">
        <v>431</v>
      </c>
      <c r="D2" s="1645"/>
      <c r="E2" s="1645"/>
      <c r="F2" s="1645"/>
      <c r="G2" s="1645"/>
      <c r="H2" s="1645"/>
      <c r="I2" s="1645"/>
      <c r="J2" s="1406"/>
      <c r="K2" s="451"/>
    </row>
    <row r="3" spans="2:13" s="5" customFormat="1" ht="13.5" customHeight="1" x14ac:dyDescent="0.25">
      <c r="B3" s="1409"/>
      <c r="C3" s="1646" t="s">
        <v>532</v>
      </c>
      <c r="D3" s="1646"/>
      <c r="E3" s="1646"/>
      <c r="F3" s="1646"/>
      <c r="G3" s="1646"/>
      <c r="H3" s="1646"/>
      <c r="I3" s="1646"/>
      <c r="J3" s="1646"/>
      <c r="K3" s="1646"/>
    </row>
    <row r="4" spans="2:13" s="4" customFormat="1" ht="14.25" customHeight="1" x14ac:dyDescent="0.25">
      <c r="B4" s="1409"/>
      <c r="C4" s="1646" t="s">
        <v>1</v>
      </c>
      <c r="D4" s="1646"/>
      <c r="E4" s="1646"/>
      <c r="F4" s="1646"/>
      <c r="G4" s="1646"/>
      <c r="H4" s="1646"/>
      <c r="I4" s="1646"/>
      <c r="J4" s="1646"/>
      <c r="K4" s="1646"/>
    </row>
    <row r="5" spans="2:13" s="4" customFormat="1" ht="15.75" x14ac:dyDescent="0.25">
      <c r="B5" s="1409"/>
      <c r="C5" s="452"/>
      <c r="D5" s="453"/>
      <c r="E5" s="454"/>
      <c r="F5" s="455"/>
      <c r="G5" s="457"/>
      <c r="H5" s="457"/>
      <c r="I5" s="457"/>
      <c r="J5" s="457"/>
      <c r="K5" s="458"/>
    </row>
    <row r="6" spans="2:13" s="4" customFormat="1" ht="18" customHeight="1" thickBot="1" x14ac:dyDescent="0.3">
      <c r="B6" s="1409"/>
      <c r="C6" s="1407" t="s">
        <v>2</v>
      </c>
      <c r="D6" s="1505" t="s">
        <v>526</v>
      </c>
      <c r="E6" s="1505"/>
      <c r="F6" s="459"/>
      <c r="G6" s="457"/>
      <c r="H6" s="457"/>
      <c r="I6" s="457"/>
      <c r="J6" s="457"/>
      <c r="K6" s="458"/>
    </row>
    <row r="7" spans="2:13" s="4" customFormat="1" ht="3" hidden="1" customHeight="1" thickBot="1" x14ac:dyDescent="0.3">
      <c r="B7" s="1742"/>
      <c r="C7" s="6"/>
      <c r="D7" s="8"/>
      <c r="E7" s="9"/>
      <c r="F7" s="10"/>
      <c r="G7" s="12"/>
      <c r="H7" s="12"/>
      <c r="I7" s="12"/>
      <c r="J7" s="12"/>
      <c r="K7" s="1756"/>
    </row>
    <row r="8" spans="2:13" s="15" customFormat="1" ht="32.25" customHeight="1" thickTop="1" x14ac:dyDescent="0.25">
      <c r="B8" s="1742"/>
      <c r="C8" s="1757" t="s">
        <v>496</v>
      </c>
      <c r="D8" s="1759" t="s">
        <v>418</v>
      </c>
      <c r="E8" s="1760"/>
      <c r="F8" s="1763" t="s">
        <v>417</v>
      </c>
      <c r="G8" s="1765" t="s">
        <v>530</v>
      </c>
      <c r="H8" s="1765" t="s">
        <v>531</v>
      </c>
      <c r="I8" s="1765" t="s">
        <v>501</v>
      </c>
      <c r="J8" s="1767" t="s">
        <v>469</v>
      </c>
      <c r="K8" s="1756"/>
    </row>
    <row r="9" spans="2:13" s="15" customFormat="1" ht="24.75" customHeight="1" x14ac:dyDescent="0.25">
      <c r="B9" s="1742"/>
      <c r="C9" s="1758"/>
      <c r="D9" s="1761"/>
      <c r="E9" s="1762"/>
      <c r="F9" s="1764"/>
      <c r="G9" s="1766"/>
      <c r="H9" s="1766"/>
      <c r="I9" s="1766"/>
      <c r="J9" s="1768"/>
      <c r="K9" s="1756"/>
    </row>
    <row r="10" spans="2:13" s="29" customFormat="1" ht="32.25" customHeight="1" x14ac:dyDescent="0.25">
      <c r="B10" s="1742"/>
      <c r="C10" s="1769" t="s">
        <v>4</v>
      </c>
      <c r="D10" s="1770"/>
      <c r="E10" s="1771"/>
      <c r="F10" s="1376"/>
      <c r="G10" s="1377">
        <f>SUM(G18:G29)</f>
        <v>31636082971</v>
      </c>
      <c r="H10" s="1377">
        <f>SUM(H18:H29)</f>
        <v>37636082971</v>
      </c>
      <c r="I10" s="1378">
        <f>SUM(I11:I29)</f>
        <v>15500000000</v>
      </c>
      <c r="J10" s="1379"/>
      <c r="K10" s="1756"/>
      <c r="M10" s="396">
        <v>-37348487571</v>
      </c>
    </row>
    <row r="11" spans="2:13" s="62" customFormat="1" ht="43.5" customHeight="1" x14ac:dyDescent="0.25">
      <c r="B11" s="1742"/>
      <c r="C11" s="49" t="s">
        <v>5</v>
      </c>
      <c r="D11" s="1714" t="s">
        <v>229</v>
      </c>
      <c r="E11" s="1715"/>
      <c r="F11" s="760" t="s">
        <v>230</v>
      </c>
      <c r="G11" s="647">
        <v>1700000000</v>
      </c>
      <c r="H11" s="647">
        <v>0</v>
      </c>
      <c r="I11" s="647">
        <f t="shared" ref="I11:I27" si="0">H11-G11</f>
        <v>-1700000000</v>
      </c>
      <c r="J11" s="1381" t="s">
        <v>564</v>
      </c>
      <c r="K11" s="1756"/>
    </row>
    <row r="12" spans="2:13" s="62" customFormat="1" ht="51.75" customHeight="1" x14ac:dyDescent="0.25">
      <c r="B12" s="1742"/>
      <c r="C12" s="49" t="s">
        <v>10</v>
      </c>
      <c r="D12" s="1716" t="s">
        <v>220</v>
      </c>
      <c r="E12" s="1717"/>
      <c r="F12" s="763" t="s">
        <v>221</v>
      </c>
      <c r="G12" s="643">
        <v>1500000000</v>
      </c>
      <c r="H12" s="643">
        <v>0</v>
      </c>
      <c r="I12" s="643">
        <f t="shared" si="0"/>
        <v>-1500000000</v>
      </c>
      <c r="J12" s="1380" t="s">
        <v>565</v>
      </c>
      <c r="K12" s="1756"/>
    </row>
    <row r="13" spans="2:13" s="62" customFormat="1" ht="25.5" customHeight="1" x14ac:dyDescent="0.25">
      <c r="B13" s="1742"/>
      <c r="C13" s="49" t="s">
        <v>13</v>
      </c>
      <c r="D13" s="1738" t="s">
        <v>69</v>
      </c>
      <c r="E13" s="1739"/>
      <c r="F13" s="469" t="s">
        <v>137</v>
      </c>
      <c r="G13" s="626">
        <v>300000000</v>
      </c>
      <c r="H13" s="626">
        <v>250000000</v>
      </c>
      <c r="I13" s="626">
        <f t="shared" si="0"/>
        <v>-50000000</v>
      </c>
      <c r="J13" s="1382" t="s">
        <v>566</v>
      </c>
      <c r="K13" s="1756"/>
    </row>
    <row r="14" spans="2:13" s="62" customFormat="1" ht="27" customHeight="1" x14ac:dyDescent="0.25">
      <c r="B14" s="1742"/>
      <c r="C14" s="39" t="s">
        <v>16</v>
      </c>
      <c r="D14" s="1738" t="s">
        <v>78</v>
      </c>
      <c r="E14" s="1739"/>
      <c r="F14" s="469" t="s">
        <v>137</v>
      </c>
      <c r="G14" s="626">
        <v>750000000</v>
      </c>
      <c r="H14" s="626">
        <v>800000000</v>
      </c>
      <c r="I14" s="626">
        <f t="shared" si="0"/>
        <v>50000000</v>
      </c>
      <c r="J14" s="1382" t="s">
        <v>567</v>
      </c>
      <c r="K14" s="1756"/>
    </row>
    <row r="15" spans="2:13" s="113" customFormat="1" ht="43.5" customHeight="1" x14ac:dyDescent="0.25">
      <c r="B15" s="1742"/>
      <c r="C15" s="39" t="s">
        <v>19</v>
      </c>
      <c r="D15" s="1772" t="s">
        <v>80</v>
      </c>
      <c r="E15" s="1773"/>
      <c r="F15" s="1373" t="s">
        <v>137</v>
      </c>
      <c r="G15" s="1374">
        <v>850000000</v>
      </c>
      <c r="H15" s="1374">
        <v>1350000000</v>
      </c>
      <c r="I15" s="1374">
        <f t="shared" si="0"/>
        <v>500000000</v>
      </c>
      <c r="J15" s="1375" t="s">
        <v>528</v>
      </c>
      <c r="K15" s="1756"/>
    </row>
    <row r="16" spans="2:13" s="62" customFormat="1" ht="45.75" customHeight="1" x14ac:dyDescent="0.25">
      <c r="B16" s="1742"/>
      <c r="C16" s="39" t="s">
        <v>27</v>
      </c>
      <c r="D16" s="1582" t="s">
        <v>136</v>
      </c>
      <c r="E16" s="1583"/>
      <c r="F16" s="469" t="s">
        <v>137</v>
      </c>
      <c r="G16" s="626">
        <v>26300000000</v>
      </c>
      <c r="H16" s="626">
        <v>34000000000</v>
      </c>
      <c r="I16" s="626">
        <f t="shared" si="0"/>
        <v>7700000000</v>
      </c>
      <c r="J16" s="1382" t="s">
        <v>568</v>
      </c>
      <c r="K16" s="1756"/>
    </row>
    <row r="17" spans="2:11" s="29" customFormat="1" ht="61.5" customHeight="1" x14ac:dyDescent="0.25">
      <c r="B17" s="1742"/>
      <c r="C17" s="39" t="s">
        <v>30</v>
      </c>
      <c r="D17" s="1582" t="s">
        <v>145</v>
      </c>
      <c r="E17" s="1583"/>
      <c r="F17" s="1408" t="s">
        <v>146</v>
      </c>
      <c r="G17" s="625">
        <v>21200000000</v>
      </c>
      <c r="H17" s="625">
        <v>25700000000</v>
      </c>
      <c r="I17" s="625">
        <f t="shared" si="0"/>
        <v>4500000000</v>
      </c>
      <c r="J17" s="1384" t="s">
        <v>569</v>
      </c>
      <c r="K17" s="1756"/>
    </row>
    <row r="18" spans="2:11" s="62" customFormat="1" ht="29.25" customHeight="1" x14ac:dyDescent="0.25">
      <c r="B18" s="1742"/>
      <c r="C18" s="49" t="s">
        <v>8</v>
      </c>
      <c r="D18" s="1582" t="s">
        <v>167</v>
      </c>
      <c r="E18" s="1583"/>
      <c r="F18" s="469" t="s">
        <v>168</v>
      </c>
      <c r="G18" s="630">
        <v>11065000000</v>
      </c>
      <c r="H18" s="630">
        <v>12565000000</v>
      </c>
      <c r="I18" s="630">
        <f t="shared" si="0"/>
        <v>1500000000</v>
      </c>
      <c r="J18" s="1380" t="s">
        <v>570</v>
      </c>
      <c r="K18" s="1756"/>
    </row>
    <row r="19" spans="2:11" s="113" customFormat="1" ht="27.75" customHeight="1" x14ac:dyDescent="0.25">
      <c r="B19" s="1742"/>
      <c r="C19" s="39" t="s">
        <v>22</v>
      </c>
      <c r="D19" s="1744" t="s">
        <v>172</v>
      </c>
      <c r="E19" s="1745"/>
      <c r="F19" s="760" t="s">
        <v>230</v>
      </c>
      <c r="G19" s="643">
        <v>3000000000</v>
      </c>
      <c r="H19" s="643">
        <v>6500000000</v>
      </c>
      <c r="I19" s="896">
        <f t="shared" si="0"/>
        <v>3500000000</v>
      </c>
      <c r="J19" s="1385" t="s">
        <v>571</v>
      </c>
      <c r="K19" s="1756"/>
    </row>
    <row r="20" spans="2:11" s="29" customFormat="1" ht="30.75" customHeight="1" x14ac:dyDescent="0.25">
      <c r="B20" s="1742"/>
      <c r="C20" s="771" t="s">
        <v>210</v>
      </c>
      <c r="D20" s="1563" t="s">
        <v>227</v>
      </c>
      <c r="E20" s="1564"/>
      <c r="F20" s="74" t="s">
        <v>464</v>
      </c>
      <c r="G20" s="659">
        <v>11000000000</v>
      </c>
      <c r="H20" s="659">
        <v>12000000000</v>
      </c>
      <c r="I20" s="659">
        <f t="shared" si="0"/>
        <v>1000000000</v>
      </c>
      <c r="J20" s="1380" t="s">
        <v>572</v>
      </c>
      <c r="K20" s="1756"/>
    </row>
    <row r="21" spans="2:11" s="29" customFormat="1" ht="43.5" customHeight="1" x14ac:dyDescent="0.25">
      <c r="B21" s="1742"/>
      <c r="C21" s="771" t="s">
        <v>439</v>
      </c>
      <c r="D21" s="1563" t="s">
        <v>265</v>
      </c>
      <c r="E21" s="1564"/>
      <c r="F21" s="74" t="s">
        <v>464</v>
      </c>
      <c r="G21" s="659">
        <v>1000000000</v>
      </c>
      <c r="H21" s="659">
        <v>500000000</v>
      </c>
      <c r="I21" s="659">
        <f t="shared" si="0"/>
        <v>-500000000</v>
      </c>
      <c r="J21" s="1380" t="s">
        <v>573</v>
      </c>
      <c r="K21" s="1756"/>
    </row>
    <row r="22" spans="2:11" s="29" customFormat="1" ht="53.25" customHeight="1" x14ac:dyDescent="0.25">
      <c r="B22" s="1742"/>
      <c r="C22" s="771" t="s">
        <v>440</v>
      </c>
      <c r="D22" s="1618" t="s">
        <v>270</v>
      </c>
      <c r="E22" s="1620"/>
      <c r="F22" s="855" t="s">
        <v>271</v>
      </c>
      <c r="G22" s="660">
        <v>1045000000</v>
      </c>
      <c r="H22" s="660">
        <v>1545000000</v>
      </c>
      <c r="I22" s="660">
        <f t="shared" si="0"/>
        <v>500000000</v>
      </c>
      <c r="J22" s="1386" t="s">
        <v>574</v>
      </c>
      <c r="K22" s="1756"/>
    </row>
    <row r="23" spans="2:11" s="62" customFormat="1" ht="54.75" customHeight="1" x14ac:dyDescent="0.25">
      <c r="B23" s="1742"/>
      <c r="C23" s="771" t="s">
        <v>441</v>
      </c>
      <c r="D23" s="1563" t="s">
        <v>308</v>
      </c>
      <c r="E23" s="1564"/>
      <c r="F23" s="767" t="s">
        <v>309</v>
      </c>
      <c r="G23" s="617">
        <v>2126082971</v>
      </c>
      <c r="H23" s="617">
        <v>600000000</v>
      </c>
      <c r="I23" s="617">
        <f t="shared" si="0"/>
        <v>-1526082971</v>
      </c>
      <c r="J23" s="1387" t="s">
        <v>575</v>
      </c>
      <c r="K23" s="1756"/>
    </row>
    <row r="24" spans="2:11" s="29" customFormat="1" ht="30" customHeight="1" x14ac:dyDescent="0.25">
      <c r="B24" s="1742"/>
      <c r="C24" s="39" t="s">
        <v>442</v>
      </c>
      <c r="D24" s="1712" t="s">
        <v>317</v>
      </c>
      <c r="E24" s="1713"/>
      <c r="F24" s="772" t="s">
        <v>318</v>
      </c>
      <c r="G24" s="774">
        <v>100000000</v>
      </c>
      <c r="H24" s="774">
        <v>300000000</v>
      </c>
      <c r="I24" s="774">
        <f t="shared" si="0"/>
        <v>200000000</v>
      </c>
      <c r="J24" s="1388" t="s">
        <v>576</v>
      </c>
      <c r="K24" s="1756"/>
    </row>
    <row r="25" spans="2:11" s="343" customFormat="1" ht="31.5" customHeight="1" x14ac:dyDescent="0.25">
      <c r="B25" s="1742"/>
      <c r="C25" s="771" t="s">
        <v>443</v>
      </c>
      <c r="D25" s="1582" t="s">
        <v>320</v>
      </c>
      <c r="E25" s="1583"/>
      <c r="F25" s="772" t="s">
        <v>321</v>
      </c>
      <c r="G25" s="774">
        <v>200000000</v>
      </c>
      <c r="H25" s="774">
        <v>600000000</v>
      </c>
      <c r="I25" s="774">
        <f t="shared" si="0"/>
        <v>400000000</v>
      </c>
      <c r="J25" s="1389" t="s">
        <v>576</v>
      </c>
      <c r="K25" s="1756"/>
    </row>
    <row r="26" spans="2:11" s="29" customFormat="1" ht="34.5" customHeight="1" x14ac:dyDescent="0.25">
      <c r="B26" s="1742"/>
      <c r="C26" s="771" t="s">
        <v>444</v>
      </c>
      <c r="D26" s="1712" t="s">
        <v>322</v>
      </c>
      <c r="E26" s="1713"/>
      <c r="F26" s="772" t="s">
        <v>323</v>
      </c>
      <c r="G26" s="774">
        <v>100000000</v>
      </c>
      <c r="H26" s="774">
        <v>250000000</v>
      </c>
      <c r="I26" s="774">
        <f t="shared" si="0"/>
        <v>150000000</v>
      </c>
      <c r="J26" s="1390" t="s">
        <v>576</v>
      </c>
      <c r="K26" s="1756"/>
    </row>
    <row r="27" spans="2:11" s="29" customFormat="1" ht="28.5" customHeight="1" x14ac:dyDescent="0.25">
      <c r="B27" s="1742"/>
      <c r="C27" s="771" t="s">
        <v>445</v>
      </c>
      <c r="D27" s="1582" t="s">
        <v>335</v>
      </c>
      <c r="E27" s="1583"/>
      <c r="F27" s="856" t="s">
        <v>336</v>
      </c>
      <c r="G27" s="663">
        <v>2000000000</v>
      </c>
      <c r="H27" s="663">
        <v>2776082971</v>
      </c>
      <c r="I27" s="663">
        <f t="shared" si="0"/>
        <v>776082971</v>
      </c>
      <c r="J27" s="1391" t="s">
        <v>577</v>
      </c>
      <c r="K27" s="1756"/>
    </row>
    <row r="28" spans="2:11" s="62" customFormat="1" ht="25.5" hidden="1" customHeight="1" x14ac:dyDescent="0.25">
      <c r="B28" s="1742"/>
      <c r="C28" s="771" t="s">
        <v>446</v>
      </c>
      <c r="D28" s="1582"/>
      <c r="E28" s="1583"/>
      <c r="F28" s="856"/>
      <c r="G28" s="663"/>
      <c r="H28" s="663"/>
      <c r="I28" s="663"/>
      <c r="J28" s="1117"/>
      <c r="K28" s="1756"/>
    </row>
    <row r="29" spans="2:11" s="29" customFormat="1" ht="21" hidden="1" customHeight="1" x14ac:dyDescent="0.25">
      <c r="B29" s="1742"/>
      <c r="C29" s="39" t="s">
        <v>447</v>
      </c>
      <c r="D29" s="1582"/>
      <c r="E29" s="1583"/>
      <c r="F29" s="856"/>
      <c r="G29" s="663"/>
      <c r="H29" s="663"/>
      <c r="I29" s="663"/>
      <c r="J29" s="1117"/>
      <c r="K29" s="1756"/>
    </row>
    <row r="30" spans="2:11" ht="2.25" customHeight="1" thickBot="1" x14ac:dyDescent="0.3">
      <c r="B30" s="1742"/>
      <c r="C30" s="420"/>
      <c r="D30" s="422"/>
      <c r="E30" s="423"/>
      <c r="F30" s="424"/>
      <c r="G30" s="672"/>
      <c r="H30" s="672"/>
      <c r="I30" s="672"/>
      <c r="J30" s="426"/>
      <c r="K30" s="1756"/>
    </row>
    <row r="31" spans="2:11" ht="3" customHeight="1" thickTop="1" x14ac:dyDescent="0.25">
      <c r="B31" s="1742"/>
      <c r="K31" s="1756"/>
    </row>
    <row r="42" spans="2:11" ht="15.75" x14ac:dyDescent="0.25">
      <c r="B42" s="1646" t="s">
        <v>532</v>
      </c>
      <c r="C42" s="1646"/>
      <c r="D42" s="1646"/>
      <c r="E42" s="1646"/>
      <c r="F42" s="1646"/>
      <c r="G42" s="1646"/>
      <c r="H42" s="1646"/>
      <c r="I42" s="1646"/>
      <c r="J42" s="1646"/>
      <c r="K42" s="1646"/>
    </row>
    <row r="43" spans="2:11" ht="15.75" x14ac:dyDescent="0.25">
      <c r="B43" s="1646" t="s">
        <v>1</v>
      </c>
      <c r="C43" s="1646"/>
      <c r="D43" s="1646"/>
      <c r="E43" s="1646"/>
      <c r="F43" s="1646"/>
      <c r="G43" s="1646"/>
      <c r="H43" s="1646"/>
      <c r="I43" s="1646"/>
      <c r="J43" s="1646"/>
      <c r="K43" s="1646"/>
    </row>
    <row r="44" spans="2:11" ht="15.75" x14ac:dyDescent="0.25">
      <c r="B44" s="1409"/>
      <c r="C44" s="452"/>
      <c r="D44" s="453"/>
      <c r="E44" s="454"/>
      <c r="F44" s="455"/>
      <c r="G44" s="457"/>
      <c r="H44" s="457"/>
      <c r="I44" s="457"/>
      <c r="J44" s="457"/>
      <c r="K44" s="458"/>
    </row>
    <row r="45" spans="2:11" ht="15.75" x14ac:dyDescent="0.25">
      <c r="B45" s="1409"/>
      <c r="C45" s="1407" t="s">
        <v>2</v>
      </c>
      <c r="D45" s="1505" t="s">
        <v>526</v>
      </c>
      <c r="E45" s="1505"/>
      <c r="F45" s="459"/>
      <c r="G45" s="457"/>
      <c r="H45" s="457"/>
      <c r="I45" s="457"/>
      <c r="J45" s="457"/>
      <c r="K45" s="458"/>
    </row>
    <row r="46" spans="2:11" ht="3" customHeight="1" thickBot="1" x14ac:dyDescent="0.3">
      <c r="B46" s="1742"/>
      <c r="C46" s="6"/>
      <c r="D46" s="8"/>
      <c r="E46" s="9"/>
      <c r="F46" s="10"/>
      <c r="G46" s="12"/>
      <c r="H46" s="12"/>
      <c r="I46" s="12"/>
      <c r="J46" s="12"/>
      <c r="K46" s="1756"/>
    </row>
    <row r="47" spans="2:11" ht="13.5" thickTop="1" x14ac:dyDescent="0.25">
      <c r="B47" s="1742"/>
      <c r="C47" s="1757" t="s">
        <v>496</v>
      </c>
      <c r="D47" s="1759" t="s">
        <v>418</v>
      </c>
      <c r="E47" s="1760"/>
      <c r="F47" s="1763" t="s">
        <v>417</v>
      </c>
      <c r="G47" s="1765" t="s">
        <v>530</v>
      </c>
      <c r="H47" s="1765" t="s">
        <v>531</v>
      </c>
      <c r="I47" s="1765" t="s">
        <v>501</v>
      </c>
      <c r="J47" s="1767" t="s">
        <v>469</v>
      </c>
      <c r="K47" s="1756"/>
    </row>
    <row r="48" spans="2:11" ht="34.5" customHeight="1" x14ac:dyDescent="0.25">
      <c r="B48" s="1742"/>
      <c r="C48" s="1758"/>
      <c r="D48" s="1761"/>
      <c r="E48" s="1762"/>
      <c r="F48" s="1764"/>
      <c r="G48" s="1766"/>
      <c r="H48" s="1766"/>
      <c r="I48" s="1766"/>
      <c r="J48" s="1768"/>
      <c r="K48" s="1756"/>
    </row>
    <row r="49" spans="2:13" ht="27" customHeight="1" x14ac:dyDescent="0.25">
      <c r="B49" s="1742"/>
      <c r="C49" s="1769" t="s">
        <v>4</v>
      </c>
      <c r="D49" s="1770"/>
      <c r="E49" s="1771"/>
      <c r="F49" s="1376"/>
      <c r="G49" s="1377">
        <f>SUM(G50:G68)</f>
        <v>80836082971</v>
      </c>
      <c r="H49" s="1377">
        <f>SUM(H50:H68)</f>
        <v>102336082971</v>
      </c>
      <c r="I49" s="1378">
        <f>SUM(I50:I68)</f>
        <v>21500000000</v>
      </c>
      <c r="J49" s="1379"/>
      <c r="K49" s="1756"/>
    </row>
    <row r="50" spans="2:13" ht="26.25" customHeight="1" x14ac:dyDescent="0.25">
      <c r="B50" s="1742"/>
      <c r="C50" s="49" t="s">
        <v>5</v>
      </c>
      <c r="D50" s="1787" t="s">
        <v>229</v>
      </c>
      <c r="E50" s="1788"/>
      <c r="F50" s="760" t="s">
        <v>230</v>
      </c>
      <c r="G50" s="647">
        <v>1700000000</v>
      </c>
      <c r="H50" s="647">
        <v>0</v>
      </c>
      <c r="I50" s="647">
        <f t="shared" ref="I50:I68" si="1">H50-G50</f>
        <v>-1700000000</v>
      </c>
      <c r="J50" s="1381" t="s">
        <v>564</v>
      </c>
      <c r="K50" s="1756"/>
      <c r="L50" s="53" t="s">
        <v>586</v>
      </c>
      <c r="M50" s="53" t="s">
        <v>587</v>
      </c>
    </row>
    <row r="51" spans="2:13" ht="44.25" customHeight="1" x14ac:dyDescent="0.25">
      <c r="B51" s="1742"/>
      <c r="C51" s="49" t="s">
        <v>10</v>
      </c>
      <c r="D51" s="1789" t="s">
        <v>220</v>
      </c>
      <c r="E51" s="1790"/>
      <c r="F51" s="763" t="s">
        <v>221</v>
      </c>
      <c r="G51" s="643">
        <v>1500000000</v>
      </c>
      <c r="H51" s="643">
        <v>0</v>
      </c>
      <c r="I51" s="643">
        <f t="shared" si="1"/>
        <v>-1500000000</v>
      </c>
      <c r="J51" s="1380" t="s">
        <v>565</v>
      </c>
      <c r="K51" s="1756"/>
      <c r="L51" s="53" t="s">
        <v>586</v>
      </c>
      <c r="M51" s="53" t="s">
        <v>587</v>
      </c>
    </row>
    <row r="52" spans="2:13" ht="28.5" customHeight="1" x14ac:dyDescent="0.25">
      <c r="B52" s="1742"/>
      <c r="C52" s="49" t="s">
        <v>13</v>
      </c>
      <c r="D52" s="1791" t="s">
        <v>69</v>
      </c>
      <c r="E52" s="1792"/>
      <c r="F52" s="469" t="s">
        <v>137</v>
      </c>
      <c r="G52" s="626">
        <v>300000000</v>
      </c>
      <c r="H52" s="626">
        <v>250000000</v>
      </c>
      <c r="I52" s="626">
        <f t="shared" si="1"/>
        <v>-50000000</v>
      </c>
      <c r="J52" s="1382" t="s">
        <v>566</v>
      </c>
      <c r="K52" s="1756"/>
      <c r="L52" s="53" t="s">
        <v>586</v>
      </c>
      <c r="M52" s="53" t="s">
        <v>587</v>
      </c>
    </row>
    <row r="53" spans="2:13" ht="22.5" customHeight="1" x14ac:dyDescent="0.25">
      <c r="B53" s="1742"/>
      <c r="C53" s="39" t="s">
        <v>16</v>
      </c>
      <c r="D53" s="1738" t="s">
        <v>78</v>
      </c>
      <c r="E53" s="1739"/>
      <c r="F53" s="469" t="s">
        <v>137</v>
      </c>
      <c r="G53" s="626">
        <v>750000000</v>
      </c>
      <c r="H53" s="626">
        <v>800000000</v>
      </c>
      <c r="I53" s="626">
        <f t="shared" si="1"/>
        <v>50000000</v>
      </c>
      <c r="J53" s="1382" t="s">
        <v>567</v>
      </c>
      <c r="K53" s="1756"/>
    </row>
    <row r="54" spans="2:13" ht="24" customHeight="1" x14ac:dyDescent="0.25">
      <c r="B54" s="1742"/>
      <c r="C54" s="39" t="s">
        <v>19</v>
      </c>
      <c r="D54" s="1582" t="s">
        <v>80</v>
      </c>
      <c r="E54" s="1583"/>
      <c r="F54" s="469" t="s">
        <v>137</v>
      </c>
      <c r="G54" s="626">
        <v>850000000</v>
      </c>
      <c r="H54" s="626">
        <v>1350000000</v>
      </c>
      <c r="I54" s="626">
        <f t="shared" si="1"/>
        <v>500000000</v>
      </c>
      <c r="J54" s="1382" t="s">
        <v>584</v>
      </c>
      <c r="K54" s="1756"/>
    </row>
    <row r="55" spans="2:13" ht="43.5" customHeight="1" x14ac:dyDescent="0.25">
      <c r="B55" s="1742"/>
      <c r="C55" s="39" t="s">
        <v>27</v>
      </c>
      <c r="D55" s="1582" t="s">
        <v>136</v>
      </c>
      <c r="E55" s="1583"/>
      <c r="F55" s="469" t="s">
        <v>137</v>
      </c>
      <c r="G55" s="626">
        <v>26300000000</v>
      </c>
      <c r="H55" s="626">
        <v>38000000000</v>
      </c>
      <c r="I55" s="626">
        <f t="shared" si="1"/>
        <v>11700000000</v>
      </c>
      <c r="J55" s="1382" t="s">
        <v>568</v>
      </c>
      <c r="K55" s="1756"/>
    </row>
    <row r="56" spans="2:13" ht="53.25" customHeight="1" x14ac:dyDescent="0.25">
      <c r="B56" s="1742"/>
      <c r="C56" s="39" t="s">
        <v>30</v>
      </c>
      <c r="D56" s="1582" t="s">
        <v>145</v>
      </c>
      <c r="E56" s="1583"/>
      <c r="F56" s="1408" t="s">
        <v>146</v>
      </c>
      <c r="G56" s="625">
        <v>21200000000</v>
      </c>
      <c r="H56" s="625">
        <v>27200000000</v>
      </c>
      <c r="I56" s="625">
        <f t="shared" si="1"/>
        <v>6000000000</v>
      </c>
      <c r="J56" s="1384" t="s">
        <v>569</v>
      </c>
      <c r="K56" s="1756"/>
    </row>
    <row r="57" spans="2:13" ht="25.5" customHeight="1" x14ac:dyDescent="0.25">
      <c r="B57" s="1742"/>
      <c r="C57" s="49" t="s">
        <v>8</v>
      </c>
      <c r="D57" s="1582" t="s">
        <v>167</v>
      </c>
      <c r="E57" s="1583"/>
      <c r="F57" s="469" t="s">
        <v>168</v>
      </c>
      <c r="G57" s="630">
        <v>11065000000</v>
      </c>
      <c r="H57" s="630">
        <v>11565000000</v>
      </c>
      <c r="I57" s="630">
        <f t="shared" si="1"/>
        <v>500000000</v>
      </c>
      <c r="J57" s="1380" t="s">
        <v>570</v>
      </c>
      <c r="K57" s="1756"/>
    </row>
    <row r="58" spans="2:13" ht="25.5" customHeight="1" x14ac:dyDescent="0.25">
      <c r="B58" s="1742"/>
      <c r="C58" s="39" t="s">
        <v>22</v>
      </c>
      <c r="D58" s="1744" t="s">
        <v>172</v>
      </c>
      <c r="E58" s="1745"/>
      <c r="F58" s="760" t="s">
        <v>230</v>
      </c>
      <c r="G58" s="643">
        <v>3000000000</v>
      </c>
      <c r="H58" s="643">
        <v>9000000000</v>
      </c>
      <c r="I58" s="896">
        <f t="shared" si="1"/>
        <v>6000000000</v>
      </c>
      <c r="J58" s="1385" t="s">
        <v>580</v>
      </c>
      <c r="K58" s="1756"/>
    </row>
    <row r="59" spans="2:13" ht="19.5" customHeight="1" x14ac:dyDescent="0.25">
      <c r="B59" s="1742"/>
      <c r="C59" s="771" t="s">
        <v>210</v>
      </c>
      <c r="D59" s="1563" t="s">
        <v>105</v>
      </c>
      <c r="E59" s="1564"/>
      <c r="F59" s="74" t="s">
        <v>464</v>
      </c>
      <c r="G59" s="659">
        <v>0</v>
      </c>
      <c r="H59" s="659">
        <v>300000000</v>
      </c>
      <c r="I59" s="659">
        <f t="shared" si="1"/>
        <v>300000000</v>
      </c>
      <c r="J59" s="1380" t="s">
        <v>581</v>
      </c>
      <c r="K59" s="1756"/>
    </row>
    <row r="60" spans="2:13" ht="29.25" customHeight="1" x14ac:dyDescent="0.25">
      <c r="B60" s="1742"/>
      <c r="C60" s="771" t="s">
        <v>439</v>
      </c>
      <c r="D60" s="1793" t="s">
        <v>246</v>
      </c>
      <c r="E60" s="1794"/>
      <c r="F60" s="74" t="s">
        <v>464</v>
      </c>
      <c r="G60" s="659">
        <v>6000000000</v>
      </c>
      <c r="H60" s="659">
        <v>6500000000</v>
      </c>
      <c r="I60" s="659">
        <f t="shared" si="1"/>
        <v>500000000</v>
      </c>
      <c r="J60" s="1380" t="s">
        <v>585</v>
      </c>
      <c r="K60" s="1756"/>
      <c r="M60" s="53" t="s">
        <v>587</v>
      </c>
    </row>
    <row r="61" spans="2:13" ht="42" customHeight="1" x14ac:dyDescent="0.25">
      <c r="B61" s="1742"/>
      <c r="C61" s="771" t="s">
        <v>440</v>
      </c>
      <c r="D61" s="1563" t="s">
        <v>265</v>
      </c>
      <c r="E61" s="1564"/>
      <c r="F61" s="74" t="s">
        <v>464</v>
      </c>
      <c r="G61" s="659">
        <v>1000000000</v>
      </c>
      <c r="H61" s="659">
        <v>500000000</v>
      </c>
      <c r="I61" s="659">
        <f t="shared" si="1"/>
        <v>-500000000</v>
      </c>
      <c r="J61" s="1380" t="s">
        <v>578</v>
      </c>
      <c r="K61" s="1756"/>
    </row>
    <row r="62" spans="2:13" ht="41.25" customHeight="1" x14ac:dyDescent="0.25">
      <c r="B62" s="1742"/>
      <c r="C62" s="771" t="s">
        <v>441</v>
      </c>
      <c r="D62" s="1795" t="s">
        <v>270</v>
      </c>
      <c r="E62" s="1796"/>
      <c r="F62" s="855" t="s">
        <v>271</v>
      </c>
      <c r="G62" s="660">
        <v>1045000000</v>
      </c>
      <c r="H62" s="660">
        <v>1545000000</v>
      </c>
      <c r="I62" s="660">
        <f t="shared" si="1"/>
        <v>500000000</v>
      </c>
      <c r="J62" s="1386" t="s">
        <v>574</v>
      </c>
      <c r="K62" s="1756"/>
    </row>
    <row r="63" spans="2:13" ht="26.25" customHeight="1" x14ac:dyDescent="0.25">
      <c r="B63" s="1742"/>
      <c r="C63" s="39" t="s">
        <v>442</v>
      </c>
      <c r="D63" s="1793" t="s">
        <v>296</v>
      </c>
      <c r="E63" s="1794"/>
      <c r="F63" s="767" t="s">
        <v>309</v>
      </c>
      <c r="G63" s="617">
        <v>1600000000</v>
      </c>
      <c r="H63" s="617">
        <v>800000000</v>
      </c>
      <c r="I63" s="617">
        <f t="shared" si="1"/>
        <v>-800000000</v>
      </c>
      <c r="J63" s="1387" t="s">
        <v>583</v>
      </c>
      <c r="K63" s="1756"/>
      <c r="M63" s="53" t="s">
        <v>587</v>
      </c>
    </row>
    <row r="64" spans="2:13" ht="51.75" customHeight="1" x14ac:dyDescent="0.25">
      <c r="B64" s="1742"/>
      <c r="C64" s="771" t="s">
        <v>443</v>
      </c>
      <c r="D64" s="1797" t="s">
        <v>308</v>
      </c>
      <c r="E64" s="1798"/>
      <c r="F64" s="767" t="s">
        <v>309</v>
      </c>
      <c r="G64" s="617">
        <v>2126082971</v>
      </c>
      <c r="H64" s="617">
        <v>600000000</v>
      </c>
      <c r="I64" s="617">
        <f t="shared" si="1"/>
        <v>-1526082971</v>
      </c>
      <c r="J64" s="1387" t="s">
        <v>582</v>
      </c>
      <c r="K64" s="1756"/>
      <c r="L64" s="53" t="s">
        <v>586</v>
      </c>
    </row>
    <row r="65" spans="2:13" ht="35.25" customHeight="1" x14ac:dyDescent="0.25">
      <c r="B65" s="1742"/>
      <c r="C65" s="771" t="s">
        <v>444</v>
      </c>
      <c r="D65" s="1799" t="s">
        <v>317</v>
      </c>
      <c r="E65" s="1800"/>
      <c r="F65" s="772" t="s">
        <v>318</v>
      </c>
      <c r="G65" s="774">
        <v>100000000</v>
      </c>
      <c r="H65" s="774">
        <v>300000000</v>
      </c>
      <c r="I65" s="774">
        <f t="shared" si="1"/>
        <v>200000000</v>
      </c>
      <c r="J65" s="1388" t="s">
        <v>576</v>
      </c>
      <c r="K65" s="1756"/>
      <c r="L65" s="53" t="s">
        <v>586</v>
      </c>
      <c r="M65" s="53" t="s">
        <v>587</v>
      </c>
    </row>
    <row r="66" spans="2:13" ht="27.75" customHeight="1" x14ac:dyDescent="0.25">
      <c r="B66" s="1742"/>
      <c r="C66" s="771" t="s">
        <v>445</v>
      </c>
      <c r="D66" s="1801" t="s">
        <v>320</v>
      </c>
      <c r="E66" s="1802"/>
      <c r="F66" s="772" t="s">
        <v>321</v>
      </c>
      <c r="G66" s="774">
        <v>200000000</v>
      </c>
      <c r="H66" s="774">
        <v>600000000</v>
      </c>
      <c r="I66" s="774">
        <f t="shared" si="1"/>
        <v>400000000</v>
      </c>
      <c r="J66" s="1389" t="s">
        <v>576</v>
      </c>
      <c r="K66" s="1756"/>
      <c r="L66" s="53" t="s">
        <v>586</v>
      </c>
      <c r="M66" s="53" t="s">
        <v>587</v>
      </c>
    </row>
    <row r="67" spans="2:13" ht="33" customHeight="1" x14ac:dyDescent="0.25">
      <c r="B67" s="1742"/>
      <c r="C67" s="771" t="s">
        <v>446</v>
      </c>
      <c r="D67" s="1799" t="s">
        <v>322</v>
      </c>
      <c r="E67" s="1800"/>
      <c r="F67" s="772" t="s">
        <v>323</v>
      </c>
      <c r="G67" s="774">
        <v>100000000</v>
      </c>
      <c r="H67" s="774">
        <v>250000000</v>
      </c>
      <c r="I67" s="774">
        <f t="shared" si="1"/>
        <v>150000000</v>
      </c>
      <c r="J67" s="1390" t="s">
        <v>576</v>
      </c>
      <c r="K67" s="1756"/>
      <c r="L67" s="53" t="s">
        <v>586</v>
      </c>
      <c r="M67" s="53" t="s">
        <v>587</v>
      </c>
    </row>
    <row r="68" spans="2:13" ht="26.25" customHeight="1" x14ac:dyDescent="0.25">
      <c r="B68" s="1742"/>
      <c r="C68" s="39" t="s">
        <v>447</v>
      </c>
      <c r="D68" s="1803" t="s">
        <v>335</v>
      </c>
      <c r="E68" s="1804"/>
      <c r="F68" s="856" t="s">
        <v>336</v>
      </c>
      <c r="G68" s="663">
        <v>2000000000</v>
      </c>
      <c r="H68" s="663">
        <v>2776082971</v>
      </c>
      <c r="I68" s="663">
        <f t="shared" si="1"/>
        <v>776082971</v>
      </c>
      <c r="J68" s="1391" t="s">
        <v>577</v>
      </c>
      <c r="K68" s="1756"/>
      <c r="M68" s="53" t="s">
        <v>587</v>
      </c>
    </row>
    <row r="69" spans="2:13" ht="4.5" customHeight="1" thickBot="1" x14ac:dyDescent="0.3">
      <c r="B69" s="1742"/>
      <c r="C69" s="420"/>
      <c r="D69" s="422"/>
      <c r="E69" s="423"/>
      <c r="F69" s="424"/>
      <c r="G69" s="672"/>
      <c r="H69" s="672"/>
      <c r="I69" s="672"/>
      <c r="J69" s="426"/>
      <c r="K69" s="1756"/>
    </row>
    <row r="70" spans="2:13" ht="3.75" customHeight="1" thickTop="1" x14ac:dyDescent="0.25">
      <c r="B70" s="1742"/>
      <c r="K70" s="1756"/>
    </row>
    <row r="81" spans="2:11" ht="15.75" x14ac:dyDescent="0.25">
      <c r="B81" s="1646" t="s">
        <v>532</v>
      </c>
      <c r="C81" s="1646"/>
      <c r="D81" s="1646"/>
      <c r="E81" s="1646"/>
      <c r="F81" s="1646"/>
      <c r="G81" s="1646"/>
      <c r="H81" s="1646"/>
      <c r="I81" s="1646"/>
      <c r="J81" s="1646"/>
      <c r="K81" s="1646"/>
    </row>
    <row r="82" spans="2:11" ht="15.75" x14ac:dyDescent="0.25">
      <c r="B82" s="1646" t="s">
        <v>1</v>
      </c>
      <c r="C82" s="1646"/>
      <c r="D82" s="1646"/>
      <c r="E82" s="1646"/>
      <c r="F82" s="1646"/>
      <c r="G82" s="1646"/>
      <c r="H82" s="1646"/>
      <c r="I82" s="1646"/>
      <c r="J82" s="1646"/>
      <c r="K82" s="1646"/>
    </row>
    <row r="83" spans="2:11" ht="15.75" x14ac:dyDescent="0.25">
      <c r="B83" s="1409"/>
      <c r="C83" s="452"/>
      <c r="D83" s="453"/>
      <c r="E83" s="454"/>
      <c r="F83" s="455"/>
      <c r="G83" s="457"/>
      <c r="H83" s="457"/>
      <c r="I83" s="457"/>
      <c r="J83" s="457"/>
      <c r="K83" s="458"/>
    </row>
    <row r="84" spans="2:11" ht="15.75" x14ac:dyDescent="0.25">
      <c r="B84" s="1409"/>
      <c r="C84" s="1407" t="s">
        <v>2</v>
      </c>
      <c r="D84" s="1505" t="s">
        <v>526</v>
      </c>
      <c r="E84" s="1505"/>
      <c r="F84" s="459"/>
      <c r="G84" s="457"/>
      <c r="H84" s="457"/>
      <c r="I84" s="457"/>
      <c r="J84" s="457"/>
      <c r="K84" s="458"/>
    </row>
    <row r="85" spans="2:11" ht="13.5" thickBot="1" x14ac:dyDescent="0.3">
      <c r="B85" s="1742"/>
      <c r="C85" s="6"/>
      <c r="D85" s="8"/>
      <c r="E85" s="9"/>
      <c r="F85" s="10"/>
      <c r="G85" s="12"/>
      <c r="H85" s="12"/>
      <c r="I85" s="12"/>
      <c r="J85" s="12"/>
      <c r="K85" s="1756"/>
    </row>
    <row r="86" spans="2:11" ht="13.5" thickTop="1" x14ac:dyDescent="0.25">
      <c r="B86" s="1742"/>
      <c r="C86" s="1757" t="s">
        <v>496</v>
      </c>
      <c r="D86" s="1759" t="s">
        <v>418</v>
      </c>
      <c r="E86" s="1760"/>
      <c r="F86" s="1763" t="s">
        <v>417</v>
      </c>
      <c r="G86" s="1765" t="s">
        <v>530</v>
      </c>
      <c r="H86" s="1765" t="s">
        <v>531</v>
      </c>
      <c r="I86" s="1767" t="s">
        <v>501</v>
      </c>
      <c r="J86" s="1774" t="s">
        <v>469</v>
      </c>
      <c r="K86" s="1756"/>
    </row>
    <row r="87" spans="2:11" ht="37.5" customHeight="1" x14ac:dyDescent="0.25">
      <c r="B87" s="1742"/>
      <c r="C87" s="1758"/>
      <c r="D87" s="1761"/>
      <c r="E87" s="1762"/>
      <c r="F87" s="1764"/>
      <c r="G87" s="1766"/>
      <c r="H87" s="1766"/>
      <c r="I87" s="1768"/>
      <c r="J87" s="1775"/>
      <c r="K87" s="1756"/>
    </row>
    <row r="88" spans="2:11" ht="16.5" x14ac:dyDescent="0.25">
      <c r="B88" s="1742"/>
      <c r="C88" s="1769" t="s">
        <v>4</v>
      </c>
      <c r="D88" s="1770"/>
      <c r="E88" s="1771"/>
      <c r="F88" s="1376"/>
      <c r="G88" s="1377">
        <f>SUM(G89:G107)</f>
        <v>80836082971</v>
      </c>
      <c r="H88" s="1377">
        <f>SUM(H89:H107)</f>
        <v>95836082971</v>
      </c>
      <c r="I88" s="1379">
        <f>SUM(I89:I107)</f>
        <v>15000000000</v>
      </c>
      <c r="J88" s="1392"/>
      <c r="K88" s="1756"/>
    </row>
    <row r="89" spans="2:11" ht="20.25" customHeight="1" x14ac:dyDescent="0.25">
      <c r="B89" s="1742"/>
      <c r="C89" s="49" t="s">
        <v>5</v>
      </c>
      <c r="D89" s="1714" t="s">
        <v>229</v>
      </c>
      <c r="E89" s="1715"/>
      <c r="F89" s="760" t="s">
        <v>230</v>
      </c>
      <c r="G89" s="647">
        <v>1700000000</v>
      </c>
      <c r="H89" s="647">
        <v>0</v>
      </c>
      <c r="I89" s="274">
        <f t="shared" ref="I89:I107" si="2">H89-G89</f>
        <v>-1700000000</v>
      </c>
      <c r="J89" s="1393"/>
      <c r="K89" s="1756"/>
    </row>
    <row r="90" spans="2:11" ht="20.25" customHeight="1" x14ac:dyDescent="0.25">
      <c r="B90" s="1742"/>
      <c r="C90" s="49" t="s">
        <v>10</v>
      </c>
      <c r="D90" s="1716" t="s">
        <v>220</v>
      </c>
      <c r="E90" s="1717"/>
      <c r="F90" s="763" t="s">
        <v>221</v>
      </c>
      <c r="G90" s="643">
        <v>1500000000</v>
      </c>
      <c r="H90" s="643">
        <v>0</v>
      </c>
      <c r="I90" s="241">
        <f t="shared" si="2"/>
        <v>-1500000000</v>
      </c>
      <c r="J90" s="1394"/>
      <c r="K90" s="1756"/>
    </row>
    <row r="91" spans="2:11" ht="20.25" customHeight="1" x14ac:dyDescent="0.25">
      <c r="B91" s="1742"/>
      <c r="C91" s="49" t="s">
        <v>13</v>
      </c>
      <c r="D91" s="1738" t="s">
        <v>69</v>
      </c>
      <c r="E91" s="1739"/>
      <c r="F91" s="469" t="s">
        <v>137</v>
      </c>
      <c r="G91" s="626">
        <v>300000000</v>
      </c>
      <c r="H91" s="626">
        <v>250000000</v>
      </c>
      <c r="I91" s="117">
        <f t="shared" si="2"/>
        <v>-50000000</v>
      </c>
      <c r="J91" s="1395"/>
      <c r="K91" s="1756"/>
    </row>
    <row r="92" spans="2:11" ht="20.25" customHeight="1" x14ac:dyDescent="0.25">
      <c r="B92" s="1742"/>
      <c r="C92" s="39" t="s">
        <v>16</v>
      </c>
      <c r="D92" s="1738" t="s">
        <v>78</v>
      </c>
      <c r="E92" s="1739"/>
      <c r="F92" s="469" t="s">
        <v>137</v>
      </c>
      <c r="G92" s="626">
        <v>750000000</v>
      </c>
      <c r="H92" s="626">
        <v>800000000</v>
      </c>
      <c r="I92" s="117">
        <f t="shared" si="2"/>
        <v>50000000</v>
      </c>
      <c r="J92" s="1395"/>
      <c r="K92" s="1756"/>
    </row>
    <row r="93" spans="2:11" ht="20.25" customHeight="1" x14ac:dyDescent="0.25">
      <c r="B93" s="1742"/>
      <c r="C93" s="39" t="s">
        <v>19</v>
      </c>
      <c r="D93" s="1582" t="s">
        <v>80</v>
      </c>
      <c r="E93" s="1583"/>
      <c r="F93" s="469" t="s">
        <v>137</v>
      </c>
      <c r="G93" s="626">
        <v>850000000</v>
      </c>
      <c r="H93" s="626">
        <v>1350000000</v>
      </c>
      <c r="I93" s="117">
        <f t="shared" si="2"/>
        <v>500000000</v>
      </c>
      <c r="J93" s="1395"/>
      <c r="K93" s="1756"/>
    </row>
    <row r="94" spans="2:11" ht="20.25" customHeight="1" x14ac:dyDescent="0.25">
      <c r="B94" s="1742"/>
      <c r="C94" s="39" t="s">
        <v>27</v>
      </c>
      <c r="D94" s="1582" t="s">
        <v>136</v>
      </c>
      <c r="E94" s="1583"/>
      <c r="F94" s="469" t="s">
        <v>137</v>
      </c>
      <c r="G94" s="626">
        <v>26300000000</v>
      </c>
      <c r="H94" s="626">
        <v>35500000000</v>
      </c>
      <c r="I94" s="117">
        <f t="shared" si="2"/>
        <v>9200000000</v>
      </c>
      <c r="J94" s="1395"/>
      <c r="K94" s="1756"/>
    </row>
    <row r="95" spans="2:11" ht="20.25" customHeight="1" x14ac:dyDescent="0.25">
      <c r="B95" s="1742"/>
      <c r="C95" s="39" t="s">
        <v>30</v>
      </c>
      <c r="D95" s="1582" t="s">
        <v>145</v>
      </c>
      <c r="E95" s="1583"/>
      <c r="F95" s="1408" t="s">
        <v>146</v>
      </c>
      <c r="G95" s="625">
        <v>21200000000</v>
      </c>
      <c r="H95" s="625">
        <v>25700000000</v>
      </c>
      <c r="I95" s="111">
        <f t="shared" si="2"/>
        <v>4500000000</v>
      </c>
      <c r="J95" s="1396"/>
      <c r="K95" s="1756"/>
    </row>
    <row r="96" spans="2:11" ht="20.25" customHeight="1" x14ac:dyDescent="0.25">
      <c r="B96" s="1742"/>
      <c r="C96" s="49" t="s">
        <v>8</v>
      </c>
      <c r="D96" s="1582" t="s">
        <v>167</v>
      </c>
      <c r="E96" s="1583"/>
      <c r="F96" s="469" t="s">
        <v>168</v>
      </c>
      <c r="G96" s="630">
        <v>11065000000</v>
      </c>
      <c r="H96" s="630">
        <v>11565000000</v>
      </c>
      <c r="I96" s="146">
        <f t="shared" si="2"/>
        <v>500000000</v>
      </c>
      <c r="J96" s="1394"/>
      <c r="K96" s="1756"/>
    </row>
    <row r="97" spans="2:11" ht="20.25" customHeight="1" x14ac:dyDescent="0.25">
      <c r="B97" s="1742"/>
      <c r="C97" s="39" t="s">
        <v>22</v>
      </c>
      <c r="D97" s="1744" t="s">
        <v>172</v>
      </c>
      <c r="E97" s="1745"/>
      <c r="F97" s="760" t="s">
        <v>230</v>
      </c>
      <c r="G97" s="643">
        <v>3000000000</v>
      </c>
      <c r="H97" s="643">
        <v>6500000000</v>
      </c>
      <c r="I97" s="241">
        <f t="shared" si="2"/>
        <v>3500000000</v>
      </c>
      <c r="J97" s="1397"/>
      <c r="K97" s="1756"/>
    </row>
    <row r="98" spans="2:11" ht="20.25" customHeight="1" x14ac:dyDescent="0.25">
      <c r="B98" s="1742"/>
      <c r="C98" s="771" t="s">
        <v>210</v>
      </c>
      <c r="D98" s="1563" t="s">
        <v>105</v>
      </c>
      <c r="E98" s="1564"/>
      <c r="F98" s="74" t="s">
        <v>464</v>
      </c>
      <c r="G98" s="659">
        <v>0</v>
      </c>
      <c r="H98" s="659">
        <v>300000000</v>
      </c>
      <c r="I98" s="331">
        <f t="shared" si="2"/>
        <v>300000000</v>
      </c>
      <c r="J98" s="1394"/>
      <c r="K98" s="1756"/>
    </row>
    <row r="99" spans="2:11" ht="20.25" customHeight="1" x14ac:dyDescent="0.25">
      <c r="B99" s="1742"/>
      <c r="C99" s="771" t="s">
        <v>439</v>
      </c>
      <c r="D99" s="1563" t="s">
        <v>246</v>
      </c>
      <c r="E99" s="1564"/>
      <c r="F99" s="74" t="s">
        <v>464</v>
      </c>
      <c r="G99" s="659">
        <v>6000000000</v>
      </c>
      <c r="H99" s="659">
        <v>6500000000</v>
      </c>
      <c r="I99" s="331">
        <f t="shared" si="2"/>
        <v>500000000</v>
      </c>
      <c r="J99" s="1394"/>
      <c r="K99" s="1756"/>
    </row>
    <row r="100" spans="2:11" ht="20.25" customHeight="1" x14ac:dyDescent="0.25">
      <c r="B100" s="1742"/>
      <c r="C100" s="771" t="s">
        <v>440</v>
      </c>
      <c r="D100" s="1563" t="s">
        <v>265</v>
      </c>
      <c r="E100" s="1564"/>
      <c r="F100" s="74" t="s">
        <v>464</v>
      </c>
      <c r="G100" s="659">
        <v>1000000000</v>
      </c>
      <c r="H100" s="659">
        <v>500000000</v>
      </c>
      <c r="I100" s="331">
        <f t="shared" si="2"/>
        <v>-500000000</v>
      </c>
      <c r="J100" s="1394"/>
      <c r="K100" s="1756"/>
    </row>
    <row r="101" spans="2:11" ht="20.25" customHeight="1" x14ac:dyDescent="0.25">
      <c r="B101" s="1742"/>
      <c r="C101" s="771" t="s">
        <v>441</v>
      </c>
      <c r="D101" s="1618" t="s">
        <v>270</v>
      </c>
      <c r="E101" s="1620"/>
      <c r="F101" s="855" t="s">
        <v>271</v>
      </c>
      <c r="G101" s="660">
        <v>1045000000</v>
      </c>
      <c r="H101" s="660">
        <v>1545000000</v>
      </c>
      <c r="I101" s="60">
        <f t="shared" si="2"/>
        <v>500000000</v>
      </c>
      <c r="J101" s="1398"/>
      <c r="K101" s="1756"/>
    </row>
    <row r="102" spans="2:11" ht="20.25" customHeight="1" x14ac:dyDescent="0.25">
      <c r="B102" s="1742"/>
      <c r="C102" s="39" t="s">
        <v>442</v>
      </c>
      <c r="D102" s="1563" t="s">
        <v>296</v>
      </c>
      <c r="E102" s="1564"/>
      <c r="F102" s="767" t="s">
        <v>309</v>
      </c>
      <c r="G102" s="617">
        <v>1600000000</v>
      </c>
      <c r="H102" s="617">
        <v>800000000</v>
      </c>
      <c r="I102" s="71">
        <f t="shared" si="2"/>
        <v>-800000000</v>
      </c>
      <c r="J102" s="1399"/>
      <c r="K102" s="1756"/>
    </row>
    <row r="103" spans="2:11" ht="20.25" customHeight="1" x14ac:dyDescent="0.25">
      <c r="B103" s="1742"/>
      <c r="C103" s="771" t="s">
        <v>443</v>
      </c>
      <c r="D103" s="1563" t="s">
        <v>308</v>
      </c>
      <c r="E103" s="1564"/>
      <c r="F103" s="767" t="s">
        <v>309</v>
      </c>
      <c r="G103" s="617">
        <v>2126082971</v>
      </c>
      <c r="H103" s="617">
        <v>600000000</v>
      </c>
      <c r="I103" s="71">
        <f t="shared" si="2"/>
        <v>-1526082971</v>
      </c>
      <c r="J103" s="1399"/>
      <c r="K103" s="1756"/>
    </row>
    <row r="104" spans="2:11" ht="20.25" customHeight="1" x14ac:dyDescent="0.25">
      <c r="B104" s="1742"/>
      <c r="C104" s="771" t="s">
        <v>444</v>
      </c>
      <c r="D104" s="1712" t="s">
        <v>317</v>
      </c>
      <c r="E104" s="1713"/>
      <c r="F104" s="772" t="s">
        <v>318</v>
      </c>
      <c r="G104" s="774">
        <v>100000000</v>
      </c>
      <c r="H104" s="774">
        <v>300000000</v>
      </c>
      <c r="I104" s="775">
        <f t="shared" si="2"/>
        <v>200000000</v>
      </c>
      <c r="J104" s="1400"/>
      <c r="K104" s="1756"/>
    </row>
    <row r="105" spans="2:11" ht="20.25" customHeight="1" x14ac:dyDescent="0.25">
      <c r="B105" s="1742"/>
      <c r="C105" s="771" t="s">
        <v>445</v>
      </c>
      <c r="D105" s="1582" t="s">
        <v>320</v>
      </c>
      <c r="E105" s="1583"/>
      <c r="F105" s="772" t="s">
        <v>321</v>
      </c>
      <c r="G105" s="774">
        <v>200000000</v>
      </c>
      <c r="H105" s="774">
        <v>600000000</v>
      </c>
      <c r="I105" s="775">
        <f t="shared" si="2"/>
        <v>400000000</v>
      </c>
      <c r="J105" s="1401"/>
      <c r="K105" s="1756"/>
    </row>
    <row r="106" spans="2:11" ht="28.5" customHeight="1" x14ac:dyDescent="0.25">
      <c r="B106" s="1742"/>
      <c r="C106" s="771" t="s">
        <v>446</v>
      </c>
      <c r="D106" s="1712" t="s">
        <v>322</v>
      </c>
      <c r="E106" s="1713"/>
      <c r="F106" s="772" t="s">
        <v>323</v>
      </c>
      <c r="G106" s="774">
        <v>100000000</v>
      </c>
      <c r="H106" s="774">
        <v>250000000</v>
      </c>
      <c r="I106" s="775">
        <f t="shared" si="2"/>
        <v>150000000</v>
      </c>
      <c r="J106" s="1402"/>
      <c r="K106" s="1756"/>
    </row>
    <row r="107" spans="2:11" ht="20.25" customHeight="1" x14ac:dyDescent="0.25">
      <c r="B107" s="1742"/>
      <c r="C107" s="39" t="s">
        <v>447</v>
      </c>
      <c r="D107" s="1582" t="s">
        <v>335</v>
      </c>
      <c r="E107" s="1583"/>
      <c r="F107" s="856" t="s">
        <v>336</v>
      </c>
      <c r="G107" s="663">
        <v>2000000000</v>
      </c>
      <c r="H107" s="663">
        <v>2776082971</v>
      </c>
      <c r="I107" s="372">
        <f t="shared" si="2"/>
        <v>776082971</v>
      </c>
      <c r="J107" s="1403"/>
      <c r="K107" s="1756"/>
    </row>
    <row r="108" spans="2:11" ht="2.25" customHeight="1" thickBot="1" x14ac:dyDescent="0.3">
      <c r="B108" s="1742"/>
      <c r="C108" s="420"/>
      <c r="D108" s="422"/>
      <c r="E108" s="423"/>
      <c r="F108" s="424"/>
      <c r="G108" s="672"/>
      <c r="H108" s="672"/>
      <c r="I108" s="426"/>
      <c r="J108" s="1405"/>
      <c r="K108" s="1756"/>
    </row>
    <row r="109" spans="2:11" ht="13.5" thickTop="1" x14ac:dyDescent="0.25">
      <c r="B109" s="1742"/>
      <c r="K109" s="1756"/>
    </row>
  </sheetData>
  <mergeCells count="97">
    <mergeCell ref="D99:E99"/>
    <mergeCell ref="D107:E107"/>
    <mergeCell ref="D101:E101"/>
    <mergeCell ref="D102:E102"/>
    <mergeCell ref="D103:E103"/>
    <mergeCell ref="D104:E104"/>
    <mergeCell ref="D105:E105"/>
    <mergeCell ref="D106:E106"/>
    <mergeCell ref="D94:E94"/>
    <mergeCell ref="D95:E95"/>
    <mergeCell ref="D96:E96"/>
    <mergeCell ref="D97:E97"/>
    <mergeCell ref="D98:E98"/>
    <mergeCell ref="B85:B109"/>
    <mergeCell ref="K85:K109"/>
    <mergeCell ref="C86:C87"/>
    <mergeCell ref="D86:E87"/>
    <mergeCell ref="F86:F87"/>
    <mergeCell ref="G86:G87"/>
    <mergeCell ref="H86:H87"/>
    <mergeCell ref="I86:I87"/>
    <mergeCell ref="J86:J87"/>
    <mergeCell ref="C88:E88"/>
    <mergeCell ref="D100:E100"/>
    <mergeCell ref="D89:E89"/>
    <mergeCell ref="D90:E90"/>
    <mergeCell ref="D91:E91"/>
    <mergeCell ref="D92:E92"/>
    <mergeCell ref="D93:E93"/>
    <mergeCell ref="D58:E58"/>
    <mergeCell ref="D84:E84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B81:K81"/>
    <mergeCell ref="B82:K82"/>
    <mergeCell ref="D53:E53"/>
    <mergeCell ref="D54:E54"/>
    <mergeCell ref="D55:E55"/>
    <mergeCell ref="D56:E56"/>
    <mergeCell ref="D57:E57"/>
    <mergeCell ref="B43:K43"/>
    <mergeCell ref="D45:E45"/>
    <mergeCell ref="B46:B70"/>
    <mergeCell ref="K46:K70"/>
    <mergeCell ref="C47:C48"/>
    <mergeCell ref="D47:E48"/>
    <mergeCell ref="F47:F48"/>
    <mergeCell ref="G47:G48"/>
    <mergeCell ref="H47:H48"/>
    <mergeCell ref="I47:I48"/>
    <mergeCell ref="D59:E59"/>
    <mergeCell ref="J47:J48"/>
    <mergeCell ref="C49:E49"/>
    <mergeCell ref="D50:E50"/>
    <mergeCell ref="D51:E51"/>
    <mergeCell ref="D52:E52"/>
    <mergeCell ref="D17:E17"/>
    <mergeCell ref="B42:K42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2:E12"/>
    <mergeCell ref="D13:E13"/>
    <mergeCell ref="D14:E14"/>
    <mergeCell ref="D15:E15"/>
    <mergeCell ref="D16:E16"/>
    <mergeCell ref="C2:I2"/>
    <mergeCell ref="C3:K3"/>
    <mergeCell ref="C4:K4"/>
    <mergeCell ref="D6:E6"/>
    <mergeCell ref="B7:B31"/>
    <mergeCell ref="K7:K31"/>
    <mergeCell ref="C8:C9"/>
    <mergeCell ref="D8:E9"/>
    <mergeCell ref="F8:F9"/>
    <mergeCell ref="G8:G9"/>
    <mergeCell ref="D18:E18"/>
    <mergeCell ref="H8:H9"/>
    <mergeCell ref="I8:I9"/>
    <mergeCell ref="J8:J9"/>
    <mergeCell ref="C10:E10"/>
    <mergeCell ref="D11:E11"/>
  </mergeCells>
  <printOptions horizontalCentered="1"/>
  <pageMargins left="0.43307086614173229" right="0.43307086614173229" top="0.59055118110236227" bottom="0.39370078740157483" header="0" footer="0"/>
  <pageSetup paperSize="200" scale="71" orientation="landscape" useFirstPageNumber="1" r:id="rId1"/>
  <headerFooter>
    <oddFooter>&amp;L&amp;"Cambria,Italic"&amp;7&amp;K05-049&amp;F / &amp;A&amp;C&amp;"Cambria,Italic"&amp;7&amp;K04-021Hal &amp;P dari &amp;N&amp;R&amp;"-,Italic"&amp;7&amp;K09-022&amp;D / 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M109"/>
  <sheetViews>
    <sheetView topLeftCell="A85" zoomScale="85" zoomScaleNormal="85" zoomScaleSheetLayoutView="130" workbookViewId="0">
      <selection activeCell="G116" sqref="G116"/>
    </sheetView>
  </sheetViews>
  <sheetFormatPr defaultRowHeight="12.75" x14ac:dyDescent="0.25"/>
  <cols>
    <col min="1" max="1" width="9" style="53" customWidth="1"/>
    <col min="2" max="2" width="0.5703125" style="13" customWidth="1"/>
    <col min="3" max="3" width="6.28515625" style="427" customWidth="1"/>
    <col min="4" max="4" width="2.7109375" style="428" customWidth="1"/>
    <col min="5" max="5" width="57.7109375" style="429" customWidth="1"/>
    <col min="6" max="6" width="52" style="430" hidden="1" customWidth="1"/>
    <col min="7" max="7" width="18.42578125" style="432" customWidth="1"/>
    <col min="8" max="8" width="18.5703125" style="432" customWidth="1"/>
    <col min="9" max="9" width="19" style="432" customWidth="1"/>
    <col min="10" max="10" width="67" style="432" customWidth="1"/>
    <col min="11" max="11" width="0.7109375" style="291" customWidth="1"/>
    <col min="12" max="12" width="10.5703125" style="53" customWidth="1"/>
    <col min="13" max="13" width="15.42578125" style="53" customWidth="1"/>
    <col min="14" max="20" width="10.5703125" style="53" customWidth="1"/>
    <col min="21" max="226" width="9.140625" style="53"/>
    <col min="227" max="227" width="1.7109375" style="53" customWidth="1"/>
    <col min="228" max="229" width="4.7109375" style="53" customWidth="1"/>
    <col min="230" max="230" width="54.140625" style="53" customWidth="1"/>
    <col min="231" max="231" width="52" style="53" customWidth="1"/>
    <col min="232" max="232" width="5.28515625" style="53" customWidth="1"/>
    <col min="233" max="233" width="5.85546875" style="53" bestFit="1" customWidth="1"/>
    <col min="234" max="234" width="16.42578125" style="53" customWidth="1"/>
    <col min="235" max="235" width="4.5703125" style="53" customWidth="1"/>
    <col min="236" max="236" width="14.140625" style="53" customWidth="1"/>
    <col min="237" max="237" width="27.140625" style="53" customWidth="1"/>
    <col min="238" max="238" width="16.28515625" style="53" customWidth="1"/>
    <col min="239" max="239" width="13.85546875" style="53" customWidth="1"/>
    <col min="240" max="482" width="9.140625" style="53"/>
    <col min="483" max="483" width="1.7109375" style="53" customWidth="1"/>
    <col min="484" max="485" width="4.7109375" style="53" customWidth="1"/>
    <col min="486" max="486" width="54.140625" style="53" customWidth="1"/>
    <col min="487" max="487" width="52" style="53" customWidth="1"/>
    <col min="488" max="488" width="5.28515625" style="53" customWidth="1"/>
    <col min="489" max="489" width="5.85546875" style="53" bestFit="1" customWidth="1"/>
    <col min="490" max="490" width="16.42578125" style="53" customWidth="1"/>
    <col min="491" max="491" width="4.5703125" style="53" customWidth="1"/>
    <col min="492" max="492" width="14.140625" style="53" customWidth="1"/>
    <col min="493" max="493" width="27.140625" style="53" customWidth="1"/>
    <col min="494" max="494" width="16.28515625" style="53" customWidth="1"/>
    <col min="495" max="495" width="13.85546875" style="53" customWidth="1"/>
    <col min="496" max="738" width="9.140625" style="53"/>
    <col min="739" max="739" width="1.7109375" style="53" customWidth="1"/>
    <col min="740" max="741" width="4.7109375" style="53" customWidth="1"/>
    <col min="742" max="742" width="54.140625" style="53" customWidth="1"/>
    <col min="743" max="743" width="52" style="53" customWidth="1"/>
    <col min="744" max="744" width="5.28515625" style="53" customWidth="1"/>
    <col min="745" max="745" width="5.85546875" style="53" bestFit="1" customWidth="1"/>
    <col min="746" max="746" width="16.42578125" style="53" customWidth="1"/>
    <col min="747" max="747" width="4.5703125" style="53" customWidth="1"/>
    <col min="748" max="748" width="14.140625" style="53" customWidth="1"/>
    <col min="749" max="749" width="27.140625" style="53" customWidth="1"/>
    <col min="750" max="750" width="16.28515625" style="53" customWidth="1"/>
    <col min="751" max="751" width="13.85546875" style="53" customWidth="1"/>
    <col min="752" max="994" width="9.140625" style="53"/>
    <col min="995" max="995" width="1.7109375" style="53" customWidth="1"/>
    <col min="996" max="997" width="4.7109375" style="53" customWidth="1"/>
    <col min="998" max="998" width="54.140625" style="53" customWidth="1"/>
    <col min="999" max="999" width="52" style="53" customWidth="1"/>
    <col min="1000" max="1000" width="5.28515625" style="53" customWidth="1"/>
    <col min="1001" max="1001" width="5.85546875" style="53" bestFit="1" customWidth="1"/>
    <col min="1002" max="1002" width="16.42578125" style="53" customWidth="1"/>
    <col min="1003" max="1003" width="4.5703125" style="53" customWidth="1"/>
    <col min="1004" max="1004" width="14.140625" style="53" customWidth="1"/>
    <col min="1005" max="1005" width="27.140625" style="53" customWidth="1"/>
    <col min="1006" max="1006" width="16.28515625" style="53" customWidth="1"/>
    <col min="1007" max="1007" width="13.85546875" style="53" customWidth="1"/>
    <col min="1008" max="1250" width="9.140625" style="53"/>
    <col min="1251" max="1251" width="1.7109375" style="53" customWidth="1"/>
    <col min="1252" max="1253" width="4.7109375" style="53" customWidth="1"/>
    <col min="1254" max="1254" width="54.140625" style="53" customWidth="1"/>
    <col min="1255" max="1255" width="52" style="53" customWidth="1"/>
    <col min="1256" max="1256" width="5.28515625" style="53" customWidth="1"/>
    <col min="1257" max="1257" width="5.85546875" style="53" bestFit="1" customWidth="1"/>
    <col min="1258" max="1258" width="16.42578125" style="53" customWidth="1"/>
    <col min="1259" max="1259" width="4.5703125" style="53" customWidth="1"/>
    <col min="1260" max="1260" width="14.140625" style="53" customWidth="1"/>
    <col min="1261" max="1261" width="27.140625" style="53" customWidth="1"/>
    <col min="1262" max="1262" width="16.28515625" style="53" customWidth="1"/>
    <col min="1263" max="1263" width="13.85546875" style="53" customWidth="1"/>
    <col min="1264" max="1506" width="9.140625" style="53"/>
    <col min="1507" max="1507" width="1.7109375" style="53" customWidth="1"/>
    <col min="1508" max="1509" width="4.7109375" style="53" customWidth="1"/>
    <col min="1510" max="1510" width="54.140625" style="53" customWidth="1"/>
    <col min="1511" max="1511" width="52" style="53" customWidth="1"/>
    <col min="1512" max="1512" width="5.28515625" style="53" customWidth="1"/>
    <col min="1513" max="1513" width="5.85546875" style="53" bestFit="1" customWidth="1"/>
    <col min="1514" max="1514" width="16.42578125" style="53" customWidth="1"/>
    <col min="1515" max="1515" width="4.5703125" style="53" customWidth="1"/>
    <col min="1516" max="1516" width="14.140625" style="53" customWidth="1"/>
    <col min="1517" max="1517" width="27.140625" style="53" customWidth="1"/>
    <col min="1518" max="1518" width="16.28515625" style="53" customWidth="1"/>
    <col min="1519" max="1519" width="13.85546875" style="53" customWidth="1"/>
    <col min="1520" max="1762" width="9.140625" style="53"/>
    <col min="1763" max="1763" width="1.7109375" style="53" customWidth="1"/>
    <col min="1764" max="1765" width="4.7109375" style="53" customWidth="1"/>
    <col min="1766" max="1766" width="54.140625" style="53" customWidth="1"/>
    <col min="1767" max="1767" width="52" style="53" customWidth="1"/>
    <col min="1768" max="1768" width="5.28515625" style="53" customWidth="1"/>
    <col min="1769" max="1769" width="5.85546875" style="53" bestFit="1" customWidth="1"/>
    <col min="1770" max="1770" width="16.42578125" style="53" customWidth="1"/>
    <col min="1771" max="1771" width="4.5703125" style="53" customWidth="1"/>
    <col min="1772" max="1772" width="14.140625" style="53" customWidth="1"/>
    <col min="1773" max="1773" width="27.140625" style="53" customWidth="1"/>
    <col min="1774" max="1774" width="16.28515625" style="53" customWidth="1"/>
    <col min="1775" max="1775" width="13.85546875" style="53" customWidth="1"/>
    <col min="1776" max="2018" width="9.140625" style="53"/>
    <col min="2019" max="2019" width="1.7109375" style="53" customWidth="1"/>
    <col min="2020" max="2021" width="4.7109375" style="53" customWidth="1"/>
    <col min="2022" max="2022" width="54.140625" style="53" customWidth="1"/>
    <col min="2023" max="2023" width="52" style="53" customWidth="1"/>
    <col min="2024" max="2024" width="5.28515625" style="53" customWidth="1"/>
    <col min="2025" max="2025" width="5.85546875" style="53" bestFit="1" customWidth="1"/>
    <col min="2026" max="2026" width="16.42578125" style="53" customWidth="1"/>
    <col min="2027" max="2027" width="4.5703125" style="53" customWidth="1"/>
    <col min="2028" max="2028" width="14.140625" style="53" customWidth="1"/>
    <col min="2029" max="2029" width="27.140625" style="53" customWidth="1"/>
    <col min="2030" max="2030" width="16.28515625" style="53" customWidth="1"/>
    <col min="2031" max="2031" width="13.85546875" style="53" customWidth="1"/>
    <col min="2032" max="2274" width="9.140625" style="53"/>
    <col min="2275" max="2275" width="1.7109375" style="53" customWidth="1"/>
    <col min="2276" max="2277" width="4.7109375" style="53" customWidth="1"/>
    <col min="2278" max="2278" width="54.140625" style="53" customWidth="1"/>
    <col min="2279" max="2279" width="52" style="53" customWidth="1"/>
    <col min="2280" max="2280" width="5.28515625" style="53" customWidth="1"/>
    <col min="2281" max="2281" width="5.85546875" style="53" bestFit="1" customWidth="1"/>
    <col min="2282" max="2282" width="16.42578125" style="53" customWidth="1"/>
    <col min="2283" max="2283" width="4.5703125" style="53" customWidth="1"/>
    <col min="2284" max="2284" width="14.140625" style="53" customWidth="1"/>
    <col min="2285" max="2285" width="27.140625" style="53" customWidth="1"/>
    <col min="2286" max="2286" width="16.28515625" style="53" customWidth="1"/>
    <col min="2287" max="2287" width="13.85546875" style="53" customWidth="1"/>
    <col min="2288" max="2530" width="9.140625" style="53"/>
    <col min="2531" max="2531" width="1.7109375" style="53" customWidth="1"/>
    <col min="2532" max="2533" width="4.7109375" style="53" customWidth="1"/>
    <col min="2534" max="2534" width="54.140625" style="53" customWidth="1"/>
    <col min="2535" max="2535" width="52" style="53" customWidth="1"/>
    <col min="2536" max="2536" width="5.28515625" style="53" customWidth="1"/>
    <col min="2537" max="2537" width="5.85546875" style="53" bestFit="1" customWidth="1"/>
    <col min="2538" max="2538" width="16.42578125" style="53" customWidth="1"/>
    <col min="2539" max="2539" width="4.5703125" style="53" customWidth="1"/>
    <col min="2540" max="2540" width="14.140625" style="53" customWidth="1"/>
    <col min="2541" max="2541" width="27.140625" style="53" customWidth="1"/>
    <col min="2542" max="2542" width="16.28515625" style="53" customWidth="1"/>
    <col min="2543" max="2543" width="13.85546875" style="53" customWidth="1"/>
    <col min="2544" max="2786" width="9.140625" style="53"/>
    <col min="2787" max="2787" width="1.7109375" style="53" customWidth="1"/>
    <col min="2788" max="2789" width="4.7109375" style="53" customWidth="1"/>
    <col min="2790" max="2790" width="54.140625" style="53" customWidth="1"/>
    <col min="2791" max="2791" width="52" style="53" customWidth="1"/>
    <col min="2792" max="2792" width="5.28515625" style="53" customWidth="1"/>
    <col min="2793" max="2793" width="5.85546875" style="53" bestFit="1" customWidth="1"/>
    <col min="2794" max="2794" width="16.42578125" style="53" customWidth="1"/>
    <col min="2795" max="2795" width="4.5703125" style="53" customWidth="1"/>
    <col min="2796" max="2796" width="14.140625" style="53" customWidth="1"/>
    <col min="2797" max="2797" width="27.140625" style="53" customWidth="1"/>
    <col min="2798" max="2798" width="16.28515625" style="53" customWidth="1"/>
    <col min="2799" max="2799" width="13.85546875" style="53" customWidth="1"/>
    <col min="2800" max="3042" width="9.140625" style="53"/>
    <col min="3043" max="3043" width="1.7109375" style="53" customWidth="1"/>
    <col min="3044" max="3045" width="4.7109375" style="53" customWidth="1"/>
    <col min="3046" max="3046" width="54.140625" style="53" customWidth="1"/>
    <col min="3047" max="3047" width="52" style="53" customWidth="1"/>
    <col min="3048" max="3048" width="5.28515625" style="53" customWidth="1"/>
    <col min="3049" max="3049" width="5.85546875" style="53" bestFit="1" customWidth="1"/>
    <col min="3050" max="3050" width="16.42578125" style="53" customWidth="1"/>
    <col min="3051" max="3051" width="4.5703125" style="53" customWidth="1"/>
    <col min="3052" max="3052" width="14.140625" style="53" customWidth="1"/>
    <col min="3053" max="3053" width="27.140625" style="53" customWidth="1"/>
    <col min="3054" max="3054" width="16.28515625" style="53" customWidth="1"/>
    <col min="3055" max="3055" width="13.85546875" style="53" customWidth="1"/>
    <col min="3056" max="3298" width="9.140625" style="53"/>
    <col min="3299" max="3299" width="1.7109375" style="53" customWidth="1"/>
    <col min="3300" max="3301" width="4.7109375" style="53" customWidth="1"/>
    <col min="3302" max="3302" width="54.140625" style="53" customWidth="1"/>
    <col min="3303" max="3303" width="52" style="53" customWidth="1"/>
    <col min="3304" max="3304" width="5.28515625" style="53" customWidth="1"/>
    <col min="3305" max="3305" width="5.85546875" style="53" bestFit="1" customWidth="1"/>
    <col min="3306" max="3306" width="16.42578125" style="53" customWidth="1"/>
    <col min="3307" max="3307" width="4.5703125" style="53" customWidth="1"/>
    <col min="3308" max="3308" width="14.140625" style="53" customWidth="1"/>
    <col min="3309" max="3309" width="27.140625" style="53" customWidth="1"/>
    <col min="3310" max="3310" width="16.28515625" style="53" customWidth="1"/>
    <col min="3311" max="3311" width="13.85546875" style="53" customWidth="1"/>
    <col min="3312" max="3554" width="9.140625" style="53"/>
    <col min="3555" max="3555" width="1.7109375" style="53" customWidth="1"/>
    <col min="3556" max="3557" width="4.7109375" style="53" customWidth="1"/>
    <col min="3558" max="3558" width="54.140625" style="53" customWidth="1"/>
    <col min="3559" max="3559" width="52" style="53" customWidth="1"/>
    <col min="3560" max="3560" width="5.28515625" style="53" customWidth="1"/>
    <col min="3561" max="3561" width="5.85546875" style="53" bestFit="1" customWidth="1"/>
    <col min="3562" max="3562" width="16.42578125" style="53" customWidth="1"/>
    <col min="3563" max="3563" width="4.5703125" style="53" customWidth="1"/>
    <col min="3564" max="3564" width="14.140625" style="53" customWidth="1"/>
    <col min="3565" max="3565" width="27.140625" style="53" customWidth="1"/>
    <col min="3566" max="3566" width="16.28515625" style="53" customWidth="1"/>
    <col min="3567" max="3567" width="13.85546875" style="53" customWidth="1"/>
    <col min="3568" max="3810" width="9.140625" style="53"/>
    <col min="3811" max="3811" width="1.7109375" style="53" customWidth="1"/>
    <col min="3812" max="3813" width="4.7109375" style="53" customWidth="1"/>
    <col min="3814" max="3814" width="54.140625" style="53" customWidth="1"/>
    <col min="3815" max="3815" width="52" style="53" customWidth="1"/>
    <col min="3816" max="3816" width="5.28515625" style="53" customWidth="1"/>
    <col min="3817" max="3817" width="5.85546875" style="53" bestFit="1" customWidth="1"/>
    <col min="3818" max="3818" width="16.42578125" style="53" customWidth="1"/>
    <col min="3819" max="3819" width="4.5703125" style="53" customWidth="1"/>
    <col min="3820" max="3820" width="14.140625" style="53" customWidth="1"/>
    <col min="3821" max="3821" width="27.140625" style="53" customWidth="1"/>
    <col min="3822" max="3822" width="16.28515625" style="53" customWidth="1"/>
    <col min="3823" max="3823" width="13.85546875" style="53" customWidth="1"/>
    <col min="3824" max="4066" width="9.140625" style="53"/>
    <col min="4067" max="4067" width="1.7109375" style="53" customWidth="1"/>
    <col min="4068" max="4069" width="4.7109375" style="53" customWidth="1"/>
    <col min="4070" max="4070" width="54.140625" style="53" customWidth="1"/>
    <col min="4071" max="4071" width="52" style="53" customWidth="1"/>
    <col min="4072" max="4072" width="5.28515625" style="53" customWidth="1"/>
    <col min="4073" max="4073" width="5.85546875" style="53" bestFit="1" customWidth="1"/>
    <col min="4074" max="4074" width="16.42578125" style="53" customWidth="1"/>
    <col min="4075" max="4075" width="4.5703125" style="53" customWidth="1"/>
    <col min="4076" max="4076" width="14.140625" style="53" customWidth="1"/>
    <col min="4077" max="4077" width="27.140625" style="53" customWidth="1"/>
    <col min="4078" max="4078" width="16.28515625" style="53" customWidth="1"/>
    <col min="4079" max="4079" width="13.85546875" style="53" customWidth="1"/>
    <col min="4080" max="4322" width="9.140625" style="53"/>
    <col min="4323" max="4323" width="1.7109375" style="53" customWidth="1"/>
    <col min="4324" max="4325" width="4.7109375" style="53" customWidth="1"/>
    <col min="4326" max="4326" width="54.140625" style="53" customWidth="1"/>
    <col min="4327" max="4327" width="52" style="53" customWidth="1"/>
    <col min="4328" max="4328" width="5.28515625" style="53" customWidth="1"/>
    <col min="4329" max="4329" width="5.85546875" style="53" bestFit="1" customWidth="1"/>
    <col min="4330" max="4330" width="16.42578125" style="53" customWidth="1"/>
    <col min="4331" max="4331" width="4.5703125" style="53" customWidth="1"/>
    <col min="4332" max="4332" width="14.140625" style="53" customWidth="1"/>
    <col min="4333" max="4333" width="27.140625" style="53" customWidth="1"/>
    <col min="4334" max="4334" width="16.28515625" style="53" customWidth="1"/>
    <col min="4335" max="4335" width="13.85546875" style="53" customWidth="1"/>
    <col min="4336" max="4578" width="9.140625" style="53"/>
    <col min="4579" max="4579" width="1.7109375" style="53" customWidth="1"/>
    <col min="4580" max="4581" width="4.7109375" style="53" customWidth="1"/>
    <col min="4582" max="4582" width="54.140625" style="53" customWidth="1"/>
    <col min="4583" max="4583" width="52" style="53" customWidth="1"/>
    <col min="4584" max="4584" width="5.28515625" style="53" customWidth="1"/>
    <col min="4585" max="4585" width="5.85546875" style="53" bestFit="1" customWidth="1"/>
    <col min="4586" max="4586" width="16.42578125" style="53" customWidth="1"/>
    <col min="4587" max="4587" width="4.5703125" style="53" customWidth="1"/>
    <col min="4588" max="4588" width="14.140625" style="53" customWidth="1"/>
    <col min="4589" max="4589" width="27.140625" style="53" customWidth="1"/>
    <col min="4590" max="4590" width="16.28515625" style="53" customWidth="1"/>
    <col min="4591" max="4591" width="13.85546875" style="53" customWidth="1"/>
    <col min="4592" max="4834" width="9.140625" style="53"/>
    <col min="4835" max="4835" width="1.7109375" style="53" customWidth="1"/>
    <col min="4836" max="4837" width="4.7109375" style="53" customWidth="1"/>
    <col min="4838" max="4838" width="54.140625" style="53" customWidth="1"/>
    <col min="4839" max="4839" width="52" style="53" customWidth="1"/>
    <col min="4840" max="4840" width="5.28515625" style="53" customWidth="1"/>
    <col min="4841" max="4841" width="5.85546875" style="53" bestFit="1" customWidth="1"/>
    <col min="4842" max="4842" width="16.42578125" style="53" customWidth="1"/>
    <col min="4843" max="4843" width="4.5703125" style="53" customWidth="1"/>
    <col min="4844" max="4844" width="14.140625" style="53" customWidth="1"/>
    <col min="4845" max="4845" width="27.140625" style="53" customWidth="1"/>
    <col min="4846" max="4846" width="16.28515625" style="53" customWidth="1"/>
    <col min="4847" max="4847" width="13.85546875" style="53" customWidth="1"/>
    <col min="4848" max="5090" width="9.140625" style="53"/>
    <col min="5091" max="5091" width="1.7109375" style="53" customWidth="1"/>
    <col min="5092" max="5093" width="4.7109375" style="53" customWidth="1"/>
    <col min="5094" max="5094" width="54.140625" style="53" customWidth="1"/>
    <col min="5095" max="5095" width="52" style="53" customWidth="1"/>
    <col min="5096" max="5096" width="5.28515625" style="53" customWidth="1"/>
    <col min="5097" max="5097" width="5.85546875" style="53" bestFit="1" customWidth="1"/>
    <col min="5098" max="5098" width="16.42578125" style="53" customWidth="1"/>
    <col min="5099" max="5099" width="4.5703125" style="53" customWidth="1"/>
    <col min="5100" max="5100" width="14.140625" style="53" customWidth="1"/>
    <col min="5101" max="5101" width="27.140625" style="53" customWidth="1"/>
    <col min="5102" max="5102" width="16.28515625" style="53" customWidth="1"/>
    <col min="5103" max="5103" width="13.85546875" style="53" customWidth="1"/>
    <col min="5104" max="5346" width="9.140625" style="53"/>
    <col min="5347" max="5347" width="1.7109375" style="53" customWidth="1"/>
    <col min="5348" max="5349" width="4.7109375" style="53" customWidth="1"/>
    <col min="5350" max="5350" width="54.140625" style="53" customWidth="1"/>
    <col min="5351" max="5351" width="52" style="53" customWidth="1"/>
    <col min="5352" max="5352" width="5.28515625" style="53" customWidth="1"/>
    <col min="5353" max="5353" width="5.85546875" style="53" bestFit="1" customWidth="1"/>
    <col min="5354" max="5354" width="16.42578125" style="53" customWidth="1"/>
    <col min="5355" max="5355" width="4.5703125" style="53" customWidth="1"/>
    <col min="5356" max="5356" width="14.140625" style="53" customWidth="1"/>
    <col min="5357" max="5357" width="27.140625" style="53" customWidth="1"/>
    <col min="5358" max="5358" width="16.28515625" style="53" customWidth="1"/>
    <col min="5359" max="5359" width="13.85546875" style="53" customWidth="1"/>
    <col min="5360" max="5602" width="9.140625" style="53"/>
    <col min="5603" max="5603" width="1.7109375" style="53" customWidth="1"/>
    <col min="5604" max="5605" width="4.7109375" style="53" customWidth="1"/>
    <col min="5606" max="5606" width="54.140625" style="53" customWidth="1"/>
    <col min="5607" max="5607" width="52" style="53" customWidth="1"/>
    <col min="5608" max="5608" width="5.28515625" style="53" customWidth="1"/>
    <col min="5609" max="5609" width="5.85546875" style="53" bestFit="1" customWidth="1"/>
    <col min="5610" max="5610" width="16.42578125" style="53" customWidth="1"/>
    <col min="5611" max="5611" width="4.5703125" style="53" customWidth="1"/>
    <col min="5612" max="5612" width="14.140625" style="53" customWidth="1"/>
    <col min="5613" max="5613" width="27.140625" style="53" customWidth="1"/>
    <col min="5614" max="5614" width="16.28515625" style="53" customWidth="1"/>
    <col min="5615" max="5615" width="13.85546875" style="53" customWidth="1"/>
    <col min="5616" max="5858" width="9.140625" style="53"/>
    <col min="5859" max="5859" width="1.7109375" style="53" customWidth="1"/>
    <col min="5860" max="5861" width="4.7109375" style="53" customWidth="1"/>
    <col min="5862" max="5862" width="54.140625" style="53" customWidth="1"/>
    <col min="5863" max="5863" width="52" style="53" customWidth="1"/>
    <col min="5864" max="5864" width="5.28515625" style="53" customWidth="1"/>
    <col min="5865" max="5865" width="5.85546875" style="53" bestFit="1" customWidth="1"/>
    <col min="5866" max="5866" width="16.42578125" style="53" customWidth="1"/>
    <col min="5867" max="5867" width="4.5703125" style="53" customWidth="1"/>
    <col min="5868" max="5868" width="14.140625" style="53" customWidth="1"/>
    <col min="5869" max="5869" width="27.140625" style="53" customWidth="1"/>
    <col min="5870" max="5870" width="16.28515625" style="53" customWidth="1"/>
    <col min="5871" max="5871" width="13.85546875" style="53" customWidth="1"/>
    <col min="5872" max="6114" width="9.140625" style="53"/>
    <col min="6115" max="6115" width="1.7109375" style="53" customWidth="1"/>
    <col min="6116" max="6117" width="4.7109375" style="53" customWidth="1"/>
    <col min="6118" max="6118" width="54.140625" style="53" customWidth="1"/>
    <col min="6119" max="6119" width="52" style="53" customWidth="1"/>
    <col min="6120" max="6120" width="5.28515625" style="53" customWidth="1"/>
    <col min="6121" max="6121" width="5.85546875" style="53" bestFit="1" customWidth="1"/>
    <col min="6122" max="6122" width="16.42578125" style="53" customWidth="1"/>
    <col min="6123" max="6123" width="4.5703125" style="53" customWidth="1"/>
    <col min="6124" max="6124" width="14.140625" style="53" customWidth="1"/>
    <col min="6125" max="6125" width="27.140625" style="53" customWidth="1"/>
    <col min="6126" max="6126" width="16.28515625" style="53" customWidth="1"/>
    <col min="6127" max="6127" width="13.85546875" style="53" customWidth="1"/>
    <col min="6128" max="6370" width="9.140625" style="53"/>
    <col min="6371" max="6371" width="1.7109375" style="53" customWidth="1"/>
    <col min="6372" max="6373" width="4.7109375" style="53" customWidth="1"/>
    <col min="6374" max="6374" width="54.140625" style="53" customWidth="1"/>
    <col min="6375" max="6375" width="52" style="53" customWidth="1"/>
    <col min="6376" max="6376" width="5.28515625" style="53" customWidth="1"/>
    <col min="6377" max="6377" width="5.85546875" style="53" bestFit="1" customWidth="1"/>
    <col min="6378" max="6378" width="16.42578125" style="53" customWidth="1"/>
    <col min="6379" max="6379" width="4.5703125" style="53" customWidth="1"/>
    <col min="6380" max="6380" width="14.140625" style="53" customWidth="1"/>
    <col min="6381" max="6381" width="27.140625" style="53" customWidth="1"/>
    <col min="6382" max="6382" width="16.28515625" style="53" customWidth="1"/>
    <col min="6383" max="6383" width="13.85546875" style="53" customWidth="1"/>
    <col min="6384" max="6626" width="9.140625" style="53"/>
    <col min="6627" max="6627" width="1.7109375" style="53" customWidth="1"/>
    <col min="6628" max="6629" width="4.7109375" style="53" customWidth="1"/>
    <col min="6630" max="6630" width="54.140625" style="53" customWidth="1"/>
    <col min="6631" max="6631" width="52" style="53" customWidth="1"/>
    <col min="6632" max="6632" width="5.28515625" style="53" customWidth="1"/>
    <col min="6633" max="6633" width="5.85546875" style="53" bestFit="1" customWidth="1"/>
    <col min="6634" max="6634" width="16.42578125" style="53" customWidth="1"/>
    <col min="6635" max="6635" width="4.5703125" style="53" customWidth="1"/>
    <col min="6636" max="6636" width="14.140625" style="53" customWidth="1"/>
    <col min="6637" max="6637" width="27.140625" style="53" customWidth="1"/>
    <col min="6638" max="6638" width="16.28515625" style="53" customWidth="1"/>
    <col min="6639" max="6639" width="13.85546875" style="53" customWidth="1"/>
    <col min="6640" max="6882" width="9.140625" style="53"/>
    <col min="6883" max="6883" width="1.7109375" style="53" customWidth="1"/>
    <col min="6884" max="6885" width="4.7109375" style="53" customWidth="1"/>
    <col min="6886" max="6886" width="54.140625" style="53" customWidth="1"/>
    <col min="6887" max="6887" width="52" style="53" customWidth="1"/>
    <col min="6888" max="6888" width="5.28515625" style="53" customWidth="1"/>
    <col min="6889" max="6889" width="5.85546875" style="53" bestFit="1" customWidth="1"/>
    <col min="6890" max="6890" width="16.42578125" style="53" customWidth="1"/>
    <col min="6891" max="6891" width="4.5703125" style="53" customWidth="1"/>
    <col min="6892" max="6892" width="14.140625" style="53" customWidth="1"/>
    <col min="6893" max="6893" width="27.140625" style="53" customWidth="1"/>
    <col min="6894" max="6894" width="16.28515625" style="53" customWidth="1"/>
    <col min="6895" max="6895" width="13.85546875" style="53" customWidth="1"/>
    <col min="6896" max="7138" width="9.140625" style="53"/>
    <col min="7139" max="7139" width="1.7109375" style="53" customWidth="1"/>
    <col min="7140" max="7141" width="4.7109375" style="53" customWidth="1"/>
    <col min="7142" max="7142" width="54.140625" style="53" customWidth="1"/>
    <col min="7143" max="7143" width="52" style="53" customWidth="1"/>
    <col min="7144" max="7144" width="5.28515625" style="53" customWidth="1"/>
    <col min="7145" max="7145" width="5.85546875" style="53" bestFit="1" customWidth="1"/>
    <col min="7146" max="7146" width="16.42578125" style="53" customWidth="1"/>
    <col min="7147" max="7147" width="4.5703125" style="53" customWidth="1"/>
    <col min="7148" max="7148" width="14.140625" style="53" customWidth="1"/>
    <col min="7149" max="7149" width="27.140625" style="53" customWidth="1"/>
    <col min="7150" max="7150" width="16.28515625" style="53" customWidth="1"/>
    <col min="7151" max="7151" width="13.85546875" style="53" customWidth="1"/>
    <col min="7152" max="7394" width="9.140625" style="53"/>
    <col min="7395" max="7395" width="1.7109375" style="53" customWidth="1"/>
    <col min="7396" max="7397" width="4.7109375" style="53" customWidth="1"/>
    <col min="7398" max="7398" width="54.140625" style="53" customWidth="1"/>
    <col min="7399" max="7399" width="52" style="53" customWidth="1"/>
    <col min="7400" max="7400" width="5.28515625" style="53" customWidth="1"/>
    <col min="7401" max="7401" width="5.85546875" style="53" bestFit="1" customWidth="1"/>
    <col min="7402" max="7402" width="16.42578125" style="53" customWidth="1"/>
    <col min="7403" max="7403" width="4.5703125" style="53" customWidth="1"/>
    <col min="7404" max="7404" width="14.140625" style="53" customWidth="1"/>
    <col min="7405" max="7405" width="27.140625" style="53" customWidth="1"/>
    <col min="7406" max="7406" width="16.28515625" style="53" customWidth="1"/>
    <col min="7407" max="7407" width="13.85546875" style="53" customWidth="1"/>
    <col min="7408" max="7650" width="9.140625" style="53"/>
    <col min="7651" max="7651" width="1.7109375" style="53" customWidth="1"/>
    <col min="7652" max="7653" width="4.7109375" style="53" customWidth="1"/>
    <col min="7654" max="7654" width="54.140625" style="53" customWidth="1"/>
    <col min="7655" max="7655" width="52" style="53" customWidth="1"/>
    <col min="7656" max="7656" width="5.28515625" style="53" customWidth="1"/>
    <col min="7657" max="7657" width="5.85546875" style="53" bestFit="1" customWidth="1"/>
    <col min="7658" max="7658" width="16.42578125" style="53" customWidth="1"/>
    <col min="7659" max="7659" width="4.5703125" style="53" customWidth="1"/>
    <col min="7660" max="7660" width="14.140625" style="53" customWidth="1"/>
    <col min="7661" max="7661" width="27.140625" style="53" customWidth="1"/>
    <col min="7662" max="7662" width="16.28515625" style="53" customWidth="1"/>
    <col min="7663" max="7663" width="13.85546875" style="53" customWidth="1"/>
    <col min="7664" max="7906" width="9.140625" style="53"/>
    <col min="7907" max="7907" width="1.7109375" style="53" customWidth="1"/>
    <col min="7908" max="7909" width="4.7109375" style="53" customWidth="1"/>
    <col min="7910" max="7910" width="54.140625" style="53" customWidth="1"/>
    <col min="7911" max="7911" width="52" style="53" customWidth="1"/>
    <col min="7912" max="7912" width="5.28515625" style="53" customWidth="1"/>
    <col min="7913" max="7913" width="5.85546875" style="53" bestFit="1" customWidth="1"/>
    <col min="7914" max="7914" width="16.42578125" style="53" customWidth="1"/>
    <col min="7915" max="7915" width="4.5703125" style="53" customWidth="1"/>
    <col min="7916" max="7916" width="14.140625" style="53" customWidth="1"/>
    <col min="7917" max="7917" width="27.140625" style="53" customWidth="1"/>
    <col min="7918" max="7918" width="16.28515625" style="53" customWidth="1"/>
    <col min="7919" max="7919" width="13.85546875" style="53" customWidth="1"/>
    <col min="7920" max="8162" width="9.140625" style="53"/>
    <col min="8163" max="8163" width="1.7109375" style="53" customWidth="1"/>
    <col min="8164" max="8165" width="4.7109375" style="53" customWidth="1"/>
    <col min="8166" max="8166" width="54.140625" style="53" customWidth="1"/>
    <col min="8167" max="8167" width="52" style="53" customWidth="1"/>
    <col min="8168" max="8168" width="5.28515625" style="53" customWidth="1"/>
    <col min="8169" max="8169" width="5.85546875" style="53" bestFit="1" customWidth="1"/>
    <col min="8170" max="8170" width="16.42578125" style="53" customWidth="1"/>
    <col min="8171" max="8171" width="4.5703125" style="53" customWidth="1"/>
    <col min="8172" max="8172" width="14.140625" style="53" customWidth="1"/>
    <col min="8173" max="8173" width="27.140625" style="53" customWidth="1"/>
    <col min="8174" max="8174" width="16.28515625" style="53" customWidth="1"/>
    <col min="8175" max="8175" width="13.85546875" style="53" customWidth="1"/>
    <col min="8176" max="8418" width="9.140625" style="53"/>
    <col min="8419" max="8419" width="1.7109375" style="53" customWidth="1"/>
    <col min="8420" max="8421" width="4.7109375" style="53" customWidth="1"/>
    <col min="8422" max="8422" width="54.140625" style="53" customWidth="1"/>
    <col min="8423" max="8423" width="52" style="53" customWidth="1"/>
    <col min="8424" max="8424" width="5.28515625" style="53" customWidth="1"/>
    <col min="8425" max="8425" width="5.85546875" style="53" bestFit="1" customWidth="1"/>
    <col min="8426" max="8426" width="16.42578125" style="53" customWidth="1"/>
    <col min="8427" max="8427" width="4.5703125" style="53" customWidth="1"/>
    <col min="8428" max="8428" width="14.140625" style="53" customWidth="1"/>
    <col min="8429" max="8429" width="27.140625" style="53" customWidth="1"/>
    <col min="8430" max="8430" width="16.28515625" style="53" customWidth="1"/>
    <col min="8431" max="8431" width="13.85546875" style="53" customWidth="1"/>
    <col min="8432" max="8674" width="9.140625" style="53"/>
    <col min="8675" max="8675" width="1.7109375" style="53" customWidth="1"/>
    <col min="8676" max="8677" width="4.7109375" style="53" customWidth="1"/>
    <col min="8678" max="8678" width="54.140625" style="53" customWidth="1"/>
    <col min="8679" max="8679" width="52" style="53" customWidth="1"/>
    <col min="8680" max="8680" width="5.28515625" style="53" customWidth="1"/>
    <col min="8681" max="8681" width="5.85546875" style="53" bestFit="1" customWidth="1"/>
    <col min="8682" max="8682" width="16.42578125" style="53" customWidth="1"/>
    <col min="8683" max="8683" width="4.5703125" style="53" customWidth="1"/>
    <col min="8684" max="8684" width="14.140625" style="53" customWidth="1"/>
    <col min="8685" max="8685" width="27.140625" style="53" customWidth="1"/>
    <col min="8686" max="8686" width="16.28515625" style="53" customWidth="1"/>
    <col min="8687" max="8687" width="13.85546875" style="53" customWidth="1"/>
    <col min="8688" max="8930" width="9.140625" style="53"/>
    <col min="8931" max="8931" width="1.7109375" style="53" customWidth="1"/>
    <col min="8932" max="8933" width="4.7109375" style="53" customWidth="1"/>
    <col min="8934" max="8934" width="54.140625" style="53" customWidth="1"/>
    <col min="8935" max="8935" width="52" style="53" customWidth="1"/>
    <col min="8936" max="8936" width="5.28515625" style="53" customWidth="1"/>
    <col min="8937" max="8937" width="5.85546875" style="53" bestFit="1" customWidth="1"/>
    <col min="8938" max="8938" width="16.42578125" style="53" customWidth="1"/>
    <col min="8939" max="8939" width="4.5703125" style="53" customWidth="1"/>
    <col min="8940" max="8940" width="14.140625" style="53" customWidth="1"/>
    <col min="8941" max="8941" width="27.140625" style="53" customWidth="1"/>
    <col min="8942" max="8942" width="16.28515625" style="53" customWidth="1"/>
    <col min="8943" max="8943" width="13.85546875" style="53" customWidth="1"/>
    <col min="8944" max="9186" width="9.140625" style="53"/>
    <col min="9187" max="9187" width="1.7109375" style="53" customWidth="1"/>
    <col min="9188" max="9189" width="4.7109375" style="53" customWidth="1"/>
    <col min="9190" max="9190" width="54.140625" style="53" customWidth="1"/>
    <col min="9191" max="9191" width="52" style="53" customWidth="1"/>
    <col min="9192" max="9192" width="5.28515625" style="53" customWidth="1"/>
    <col min="9193" max="9193" width="5.85546875" style="53" bestFit="1" customWidth="1"/>
    <col min="9194" max="9194" width="16.42578125" style="53" customWidth="1"/>
    <col min="9195" max="9195" width="4.5703125" style="53" customWidth="1"/>
    <col min="9196" max="9196" width="14.140625" style="53" customWidth="1"/>
    <col min="9197" max="9197" width="27.140625" style="53" customWidth="1"/>
    <col min="9198" max="9198" width="16.28515625" style="53" customWidth="1"/>
    <col min="9199" max="9199" width="13.85546875" style="53" customWidth="1"/>
    <col min="9200" max="9442" width="9.140625" style="53"/>
    <col min="9443" max="9443" width="1.7109375" style="53" customWidth="1"/>
    <col min="9444" max="9445" width="4.7109375" style="53" customWidth="1"/>
    <col min="9446" max="9446" width="54.140625" style="53" customWidth="1"/>
    <col min="9447" max="9447" width="52" style="53" customWidth="1"/>
    <col min="9448" max="9448" width="5.28515625" style="53" customWidth="1"/>
    <col min="9449" max="9449" width="5.85546875" style="53" bestFit="1" customWidth="1"/>
    <col min="9450" max="9450" width="16.42578125" style="53" customWidth="1"/>
    <col min="9451" max="9451" width="4.5703125" style="53" customWidth="1"/>
    <col min="9452" max="9452" width="14.140625" style="53" customWidth="1"/>
    <col min="9453" max="9453" width="27.140625" style="53" customWidth="1"/>
    <col min="9454" max="9454" width="16.28515625" style="53" customWidth="1"/>
    <col min="9455" max="9455" width="13.85546875" style="53" customWidth="1"/>
    <col min="9456" max="9698" width="9.140625" style="53"/>
    <col min="9699" max="9699" width="1.7109375" style="53" customWidth="1"/>
    <col min="9700" max="9701" width="4.7109375" style="53" customWidth="1"/>
    <col min="9702" max="9702" width="54.140625" style="53" customWidth="1"/>
    <col min="9703" max="9703" width="52" style="53" customWidth="1"/>
    <col min="9704" max="9704" width="5.28515625" style="53" customWidth="1"/>
    <col min="9705" max="9705" width="5.85546875" style="53" bestFit="1" customWidth="1"/>
    <col min="9706" max="9706" width="16.42578125" style="53" customWidth="1"/>
    <col min="9707" max="9707" width="4.5703125" style="53" customWidth="1"/>
    <col min="9708" max="9708" width="14.140625" style="53" customWidth="1"/>
    <col min="9709" max="9709" width="27.140625" style="53" customWidth="1"/>
    <col min="9710" max="9710" width="16.28515625" style="53" customWidth="1"/>
    <col min="9711" max="9711" width="13.85546875" style="53" customWidth="1"/>
    <col min="9712" max="9954" width="9.140625" style="53"/>
    <col min="9955" max="9955" width="1.7109375" style="53" customWidth="1"/>
    <col min="9956" max="9957" width="4.7109375" style="53" customWidth="1"/>
    <col min="9958" max="9958" width="54.140625" style="53" customWidth="1"/>
    <col min="9959" max="9959" width="52" style="53" customWidth="1"/>
    <col min="9960" max="9960" width="5.28515625" style="53" customWidth="1"/>
    <col min="9961" max="9961" width="5.85546875" style="53" bestFit="1" customWidth="1"/>
    <col min="9962" max="9962" width="16.42578125" style="53" customWidth="1"/>
    <col min="9963" max="9963" width="4.5703125" style="53" customWidth="1"/>
    <col min="9964" max="9964" width="14.140625" style="53" customWidth="1"/>
    <col min="9965" max="9965" width="27.140625" style="53" customWidth="1"/>
    <col min="9966" max="9966" width="16.28515625" style="53" customWidth="1"/>
    <col min="9967" max="9967" width="13.85546875" style="53" customWidth="1"/>
    <col min="9968" max="10210" width="9.140625" style="53"/>
    <col min="10211" max="10211" width="1.7109375" style="53" customWidth="1"/>
    <col min="10212" max="10213" width="4.7109375" style="53" customWidth="1"/>
    <col min="10214" max="10214" width="54.140625" style="53" customWidth="1"/>
    <col min="10215" max="10215" width="52" style="53" customWidth="1"/>
    <col min="10216" max="10216" width="5.28515625" style="53" customWidth="1"/>
    <col min="10217" max="10217" width="5.85546875" style="53" bestFit="1" customWidth="1"/>
    <col min="10218" max="10218" width="16.42578125" style="53" customWidth="1"/>
    <col min="10219" max="10219" width="4.5703125" style="53" customWidth="1"/>
    <col min="10220" max="10220" width="14.140625" style="53" customWidth="1"/>
    <col min="10221" max="10221" width="27.140625" style="53" customWidth="1"/>
    <col min="10222" max="10222" width="16.28515625" style="53" customWidth="1"/>
    <col min="10223" max="10223" width="13.85546875" style="53" customWidth="1"/>
    <col min="10224" max="10466" width="9.140625" style="53"/>
    <col min="10467" max="10467" width="1.7109375" style="53" customWidth="1"/>
    <col min="10468" max="10469" width="4.7109375" style="53" customWidth="1"/>
    <col min="10470" max="10470" width="54.140625" style="53" customWidth="1"/>
    <col min="10471" max="10471" width="52" style="53" customWidth="1"/>
    <col min="10472" max="10472" width="5.28515625" style="53" customWidth="1"/>
    <col min="10473" max="10473" width="5.85546875" style="53" bestFit="1" customWidth="1"/>
    <col min="10474" max="10474" width="16.42578125" style="53" customWidth="1"/>
    <col min="10475" max="10475" width="4.5703125" style="53" customWidth="1"/>
    <col min="10476" max="10476" width="14.140625" style="53" customWidth="1"/>
    <col min="10477" max="10477" width="27.140625" style="53" customWidth="1"/>
    <col min="10478" max="10478" width="16.28515625" style="53" customWidth="1"/>
    <col min="10479" max="10479" width="13.85546875" style="53" customWidth="1"/>
    <col min="10480" max="10722" width="9.140625" style="53"/>
    <col min="10723" max="10723" width="1.7109375" style="53" customWidth="1"/>
    <col min="10724" max="10725" width="4.7109375" style="53" customWidth="1"/>
    <col min="10726" max="10726" width="54.140625" style="53" customWidth="1"/>
    <col min="10727" max="10727" width="52" style="53" customWidth="1"/>
    <col min="10728" max="10728" width="5.28515625" style="53" customWidth="1"/>
    <col min="10729" max="10729" width="5.85546875" style="53" bestFit="1" customWidth="1"/>
    <col min="10730" max="10730" width="16.42578125" style="53" customWidth="1"/>
    <col min="10731" max="10731" width="4.5703125" style="53" customWidth="1"/>
    <col min="10732" max="10732" width="14.140625" style="53" customWidth="1"/>
    <col min="10733" max="10733" width="27.140625" style="53" customWidth="1"/>
    <col min="10734" max="10734" width="16.28515625" style="53" customWidth="1"/>
    <col min="10735" max="10735" width="13.85546875" style="53" customWidth="1"/>
    <col min="10736" max="10978" width="9.140625" style="53"/>
    <col min="10979" max="10979" width="1.7109375" style="53" customWidth="1"/>
    <col min="10980" max="10981" width="4.7109375" style="53" customWidth="1"/>
    <col min="10982" max="10982" width="54.140625" style="53" customWidth="1"/>
    <col min="10983" max="10983" width="52" style="53" customWidth="1"/>
    <col min="10984" max="10984" width="5.28515625" style="53" customWidth="1"/>
    <col min="10985" max="10985" width="5.85546875" style="53" bestFit="1" customWidth="1"/>
    <col min="10986" max="10986" width="16.42578125" style="53" customWidth="1"/>
    <col min="10987" max="10987" width="4.5703125" style="53" customWidth="1"/>
    <col min="10988" max="10988" width="14.140625" style="53" customWidth="1"/>
    <col min="10989" max="10989" width="27.140625" style="53" customWidth="1"/>
    <col min="10990" max="10990" width="16.28515625" style="53" customWidth="1"/>
    <col min="10991" max="10991" width="13.85546875" style="53" customWidth="1"/>
    <col min="10992" max="11234" width="9.140625" style="53"/>
    <col min="11235" max="11235" width="1.7109375" style="53" customWidth="1"/>
    <col min="11236" max="11237" width="4.7109375" style="53" customWidth="1"/>
    <col min="11238" max="11238" width="54.140625" style="53" customWidth="1"/>
    <col min="11239" max="11239" width="52" style="53" customWidth="1"/>
    <col min="11240" max="11240" width="5.28515625" style="53" customWidth="1"/>
    <col min="11241" max="11241" width="5.85546875" style="53" bestFit="1" customWidth="1"/>
    <col min="11242" max="11242" width="16.42578125" style="53" customWidth="1"/>
    <col min="11243" max="11243" width="4.5703125" style="53" customWidth="1"/>
    <col min="11244" max="11244" width="14.140625" style="53" customWidth="1"/>
    <col min="11245" max="11245" width="27.140625" style="53" customWidth="1"/>
    <col min="11246" max="11246" width="16.28515625" style="53" customWidth="1"/>
    <col min="11247" max="11247" width="13.85546875" style="53" customWidth="1"/>
    <col min="11248" max="11490" width="9.140625" style="53"/>
    <col min="11491" max="11491" width="1.7109375" style="53" customWidth="1"/>
    <col min="11492" max="11493" width="4.7109375" style="53" customWidth="1"/>
    <col min="11494" max="11494" width="54.140625" style="53" customWidth="1"/>
    <col min="11495" max="11495" width="52" style="53" customWidth="1"/>
    <col min="11496" max="11496" width="5.28515625" style="53" customWidth="1"/>
    <col min="11497" max="11497" width="5.85546875" style="53" bestFit="1" customWidth="1"/>
    <col min="11498" max="11498" width="16.42578125" style="53" customWidth="1"/>
    <col min="11499" max="11499" width="4.5703125" style="53" customWidth="1"/>
    <col min="11500" max="11500" width="14.140625" style="53" customWidth="1"/>
    <col min="11501" max="11501" width="27.140625" style="53" customWidth="1"/>
    <col min="11502" max="11502" width="16.28515625" style="53" customWidth="1"/>
    <col min="11503" max="11503" width="13.85546875" style="53" customWidth="1"/>
    <col min="11504" max="11746" width="9.140625" style="53"/>
    <col min="11747" max="11747" width="1.7109375" style="53" customWidth="1"/>
    <col min="11748" max="11749" width="4.7109375" style="53" customWidth="1"/>
    <col min="11750" max="11750" width="54.140625" style="53" customWidth="1"/>
    <col min="11751" max="11751" width="52" style="53" customWidth="1"/>
    <col min="11752" max="11752" width="5.28515625" style="53" customWidth="1"/>
    <col min="11753" max="11753" width="5.85546875" style="53" bestFit="1" customWidth="1"/>
    <col min="11754" max="11754" width="16.42578125" style="53" customWidth="1"/>
    <col min="11755" max="11755" width="4.5703125" style="53" customWidth="1"/>
    <col min="11756" max="11756" width="14.140625" style="53" customWidth="1"/>
    <col min="11757" max="11757" width="27.140625" style="53" customWidth="1"/>
    <col min="11758" max="11758" width="16.28515625" style="53" customWidth="1"/>
    <col min="11759" max="11759" width="13.85546875" style="53" customWidth="1"/>
    <col min="11760" max="12002" width="9.140625" style="53"/>
    <col min="12003" max="12003" width="1.7109375" style="53" customWidth="1"/>
    <col min="12004" max="12005" width="4.7109375" style="53" customWidth="1"/>
    <col min="12006" max="12006" width="54.140625" style="53" customWidth="1"/>
    <col min="12007" max="12007" width="52" style="53" customWidth="1"/>
    <col min="12008" max="12008" width="5.28515625" style="53" customWidth="1"/>
    <col min="12009" max="12009" width="5.85546875" style="53" bestFit="1" customWidth="1"/>
    <col min="12010" max="12010" width="16.42578125" style="53" customWidth="1"/>
    <col min="12011" max="12011" width="4.5703125" style="53" customWidth="1"/>
    <col min="12012" max="12012" width="14.140625" style="53" customWidth="1"/>
    <col min="12013" max="12013" width="27.140625" style="53" customWidth="1"/>
    <col min="12014" max="12014" width="16.28515625" style="53" customWidth="1"/>
    <col min="12015" max="12015" width="13.85546875" style="53" customWidth="1"/>
    <col min="12016" max="12258" width="9.140625" style="53"/>
    <col min="12259" max="12259" width="1.7109375" style="53" customWidth="1"/>
    <col min="12260" max="12261" width="4.7109375" style="53" customWidth="1"/>
    <col min="12262" max="12262" width="54.140625" style="53" customWidth="1"/>
    <col min="12263" max="12263" width="52" style="53" customWidth="1"/>
    <col min="12264" max="12264" width="5.28515625" style="53" customWidth="1"/>
    <col min="12265" max="12265" width="5.85546875" style="53" bestFit="1" customWidth="1"/>
    <col min="12266" max="12266" width="16.42578125" style="53" customWidth="1"/>
    <col min="12267" max="12267" width="4.5703125" style="53" customWidth="1"/>
    <col min="12268" max="12268" width="14.140625" style="53" customWidth="1"/>
    <col min="12269" max="12269" width="27.140625" style="53" customWidth="1"/>
    <col min="12270" max="12270" width="16.28515625" style="53" customWidth="1"/>
    <col min="12271" max="12271" width="13.85546875" style="53" customWidth="1"/>
    <col min="12272" max="12514" width="9.140625" style="53"/>
    <col min="12515" max="12515" width="1.7109375" style="53" customWidth="1"/>
    <col min="12516" max="12517" width="4.7109375" style="53" customWidth="1"/>
    <col min="12518" max="12518" width="54.140625" style="53" customWidth="1"/>
    <col min="12519" max="12519" width="52" style="53" customWidth="1"/>
    <col min="12520" max="12520" width="5.28515625" style="53" customWidth="1"/>
    <col min="12521" max="12521" width="5.85546875" style="53" bestFit="1" customWidth="1"/>
    <col min="12522" max="12522" width="16.42578125" style="53" customWidth="1"/>
    <col min="12523" max="12523" width="4.5703125" style="53" customWidth="1"/>
    <col min="12524" max="12524" width="14.140625" style="53" customWidth="1"/>
    <col min="12525" max="12525" width="27.140625" style="53" customWidth="1"/>
    <col min="12526" max="12526" width="16.28515625" style="53" customWidth="1"/>
    <col min="12527" max="12527" width="13.85546875" style="53" customWidth="1"/>
    <col min="12528" max="12770" width="9.140625" style="53"/>
    <col min="12771" max="12771" width="1.7109375" style="53" customWidth="1"/>
    <col min="12772" max="12773" width="4.7109375" style="53" customWidth="1"/>
    <col min="12774" max="12774" width="54.140625" style="53" customWidth="1"/>
    <col min="12775" max="12775" width="52" style="53" customWidth="1"/>
    <col min="12776" max="12776" width="5.28515625" style="53" customWidth="1"/>
    <col min="12777" max="12777" width="5.85546875" style="53" bestFit="1" customWidth="1"/>
    <col min="12778" max="12778" width="16.42578125" style="53" customWidth="1"/>
    <col min="12779" max="12779" width="4.5703125" style="53" customWidth="1"/>
    <col min="12780" max="12780" width="14.140625" style="53" customWidth="1"/>
    <col min="12781" max="12781" width="27.140625" style="53" customWidth="1"/>
    <col min="12782" max="12782" width="16.28515625" style="53" customWidth="1"/>
    <col min="12783" max="12783" width="13.85546875" style="53" customWidth="1"/>
    <col min="12784" max="13026" width="9.140625" style="53"/>
    <col min="13027" max="13027" width="1.7109375" style="53" customWidth="1"/>
    <col min="13028" max="13029" width="4.7109375" style="53" customWidth="1"/>
    <col min="13030" max="13030" width="54.140625" style="53" customWidth="1"/>
    <col min="13031" max="13031" width="52" style="53" customWidth="1"/>
    <col min="13032" max="13032" width="5.28515625" style="53" customWidth="1"/>
    <col min="13033" max="13033" width="5.85546875" style="53" bestFit="1" customWidth="1"/>
    <col min="13034" max="13034" width="16.42578125" style="53" customWidth="1"/>
    <col min="13035" max="13035" width="4.5703125" style="53" customWidth="1"/>
    <col min="13036" max="13036" width="14.140625" style="53" customWidth="1"/>
    <col min="13037" max="13037" width="27.140625" style="53" customWidth="1"/>
    <col min="13038" max="13038" width="16.28515625" style="53" customWidth="1"/>
    <col min="13039" max="13039" width="13.85546875" style="53" customWidth="1"/>
    <col min="13040" max="13282" width="9.140625" style="53"/>
    <col min="13283" max="13283" width="1.7109375" style="53" customWidth="1"/>
    <col min="13284" max="13285" width="4.7109375" style="53" customWidth="1"/>
    <col min="13286" max="13286" width="54.140625" style="53" customWidth="1"/>
    <col min="13287" max="13287" width="52" style="53" customWidth="1"/>
    <col min="13288" max="13288" width="5.28515625" style="53" customWidth="1"/>
    <col min="13289" max="13289" width="5.85546875" style="53" bestFit="1" customWidth="1"/>
    <col min="13290" max="13290" width="16.42578125" style="53" customWidth="1"/>
    <col min="13291" max="13291" width="4.5703125" style="53" customWidth="1"/>
    <col min="13292" max="13292" width="14.140625" style="53" customWidth="1"/>
    <col min="13293" max="13293" width="27.140625" style="53" customWidth="1"/>
    <col min="13294" max="13294" width="16.28515625" style="53" customWidth="1"/>
    <col min="13295" max="13295" width="13.85546875" style="53" customWidth="1"/>
    <col min="13296" max="13538" width="9.140625" style="53"/>
    <col min="13539" max="13539" width="1.7109375" style="53" customWidth="1"/>
    <col min="13540" max="13541" width="4.7109375" style="53" customWidth="1"/>
    <col min="13542" max="13542" width="54.140625" style="53" customWidth="1"/>
    <col min="13543" max="13543" width="52" style="53" customWidth="1"/>
    <col min="13544" max="13544" width="5.28515625" style="53" customWidth="1"/>
    <col min="13545" max="13545" width="5.85546875" style="53" bestFit="1" customWidth="1"/>
    <col min="13546" max="13546" width="16.42578125" style="53" customWidth="1"/>
    <col min="13547" max="13547" width="4.5703125" style="53" customWidth="1"/>
    <col min="13548" max="13548" width="14.140625" style="53" customWidth="1"/>
    <col min="13549" max="13549" width="27.140625" style="53" customWidth="1"/>
    <col min="13550" max="13550" width="16.28515625" style="53" customWidth="1"/>
    <col min="13551" max="13551" width="13.85546875" style="53" customWidth="1"/>
    <col min="13552" max="13794" width="9.140625" style="53"/>
    <col min="13795" max="13795" width="1.7109375" style="53" customWidth="1"/>
    <col min="13796" max="13797" width="4.7109375" style="53" customWidth="1"/>
    <col min="13798" max="13798" width="54.140625" style="53" customWidth="1"/>
    <col min="13799" max="13799" width="52" style="53" customWidth="1"/>
    <col min="13800" max="13800" width="5.28515625" style="53" customWidth="1"/>
    <col min="13801" max="13801" width="5.85546875" style="53" bestFit="1" customWidth="1"/>
    <col min="13802" max="13802" width="16.42578125" style="53" customWidth="1"/>
    <col min="13803" max="13803" width="4.5703125" style="53" customWidth="1"/>
    <col min="13804" max="13804" width="14.140625" style="53" customWidth="1"/>
    <col min="13805" max="13805" width="27.140625" style="53" customWidth="1"/>
    <col min="13806" max="13806" width="16.28515625" style="53" customWidth="1"/>
    <col min="13807" max="13807" width="13.85546875" style="53" customWidth="1"/>
    <col min="13808" max="14050" width="9.140625" style="53"/>
    <col min="14051" max="14051" width="1.7109375" style="53" customWidth="1"/>
    <col min="14052" max="14053" width="4.7109375" style="53" customWidth="1"/>
    <col min="14054" max="14054" width="54.140625" style="53" customWidth="1"/>
    <col min="14055" max="14055" width="52" style="53" customWidth="1"/>
    <col min="14056" max="14056" width="5.28515625" style="53" customWidth="1"/>
    <col min="14057" max="14057" width="5.85546875" style="53" bestFit="1" customWidth="1"/>
    <col min="14058" max="14058" width="16.42578125" style="53" customWidth="1"/>
    <col min="14059" max="14059" width="4.5703125" style="53" customWidth="1"/>
    <col min="14060" max="14060" width="14.140625" style="53" customWidth="1"/>
    <col min="14061" max="14061" width="27.140625" style="53" customWidth="1"/>
    <col min="14062" max="14062" width="16.28515625" style="53" customWidth="1"/>
    <col min="14063" max="14063" width="13.85546875" style="53" customWidth="1"/>
    <col min="14064" max="14306" width="9.140625" style="53"/>
    <col min="14307" max="14307" width="1.7109375" style="53" customWidth="1"/>
    <col min="14308" max="14309" width="4.7109375" style="53" customWidth="1"/>
    <col min="14310" max="14310" width="54.140625" style="53" customWidth="1"/>
    <col min="14311" max="14311" width="52" style="53" customWidth="1"/>
    <col min="14312" max="14312" width="5.28515625" style="53" customWidth="1"/>
    <col min="14313" max="14313" width="5.85546875" style="53" bestFit="1" customWidth="1"/>
    <col min="14314" max="14314" width="16.42578125" style="53" customWidth="1"/>
    <col min="14315" max="14315" width="4.5703125" style="53" customWidth="1"/>
    <col min="14316" max="14316" width="14.140625" style="53" customWidth="1"/>
    <col min="14317" max="14317" width="27.140625" style="53" customWidth="1"/>
    <col min="14318" max="14318" width="16.28515625" style="53" customWidth="1"/>
    <col min="14319" max="14319" width="13.85546875" style="53" customWidth="1"/>
    <col min="14320" max="14562" width="9.140625" style="53"/>
    <col min="14563" max="14563" width="1.7109375" style="53" customWidth="1"/>
    <col min="14564" max="14565" width="4.7109375" style="53" customWidth="1"/>
    <col min="14566" max="14566" width="54.140625" style="53" customWidth="1"/>
    <col min="14567" max="14567" width="52" style="53" customWidth="1"/>
    <col min="14568" max="14568" width="5.28515625" style="53" customWidth="1"/>
    <col min="14569" max="14569" width="5.85546875" style="53" bestFit="1" customWidth="1"/>
    <col min="14570" max="14570" width="16.42578125" style="53" customWidth="1"/>
    <col min="14571" max="14571" width="4.5703125" style="53" customWidth="1"/>
    <col min="14572" max="14572" width="14.140625" style="53" customWidth="1"/>
    <col min="14573" max="14573" width="27.140625" style="53" customWidth="1"/>
    <col min="14574" max="14574" width="16.28515625" style="53" customWidth="1"/>
    <col min="14575" max="14575" width="13.85546875" style="53" customWidth="1"/>
    <col min="14576" max="14818" width="9.140625" style="53"/>
    <col min="14819" max="14819" width="1.7109375" style="53" customWidth="1"/>
    <col min="14820" max="14821" width="4.7109375" style="53" customWidth="1"/>
    <col min="14822" max="14822" width="54.140625" style="53" customWidth="1"/>
    <col min="14823" max="14823" width="52" style="53" customWidth="1"/>
    <col min="14824" max="14824" width="5.28515625" style="53" customWidth="1"/>
    <col min="14825" max="14825" width="5.85546875" style="53" bestFit="1" customWidth="1"/>
    <col min="14826" max="14826" width="16.42578125" style="53" customWidth="1"/>
    <col min="14827" max="14827" width="4.5703125" style="53" customWidth="1"/>
    <col min="14828" max="14828" width="14.140625" style="53" customWidth="1"/>
    <col min="14829" max="14829" width="27.140625" style="53" customWidth="1"/>
    <col min="14830" max="14830" width="16.28515625" style="53" customWidth="1"/>
    <col min="14831" max="14831" width="13.85546875" style="53" customWidth="1"/>
    <col min="14832" max="15074" width="9.140625" style="53"/>
    <col min="15075" max="15075" width="1.7109375" style="53" customWidth="1"/>
    <col min="15076" max="15077" width="4.7109375" style="53" customWidth="1"/>
    <col min="15078" max="15078" width="54.140625" style="53" customWidth="1"/>
    <col min="15079" max="15079" width="52" style="53" customWidth="1"/>
    <col min="15080" max="15080" width="5.28515625" style="53" customWidth="1"/>
    <col min="15081" max="15081" width="5.85546875" style="53" bestFit="1" customWidth="1"/>
    <col min="15082" max="15082" width="16.42578125" style="53" customWidth="1"/>
    <col min="15083" max="15083" width="4.5703125" style="53" customWidth="1"/>
    <col min="15084" max="15084" width="14.140625" style="53" customWidth="1"/>
    <col min="15085" max="15085" width="27.140625" style="53" customWidth="1"/>
    <col min="15086" max="15086" width="16.28515625" style="53" customWidth="1"/>
    <col min="15087" max="15087" width="13.85546875" style="53" customWidth="1"/>
    <col min="15088" max="15330" width="9.140625" style="53"/>
    <col min="15331" max="15331" width="1.7109375" style="53" customWidth="1"/>
    <col min="15332" max="15333" width="4.7109375" style="53" customWidth="1"/>
    <col min="15334" max="15334" width="54.140625" style="53" customWidth="1"/>
    <col min="15335" max="15335" width="52" style="53" customWidth="1"/>
    <col min="15336" max="15336" width="5.28515625" style="53" customWidth="1"/>
    <col min="15337" max="15337" width="5.85546875" style="53" bestFit="1" customWidth="1"/>
    <col min="15338" max="15338" width="16.42578125" style="53" customWidth="1"/>
    <col min="15339" max="15339" width="4.5703125" style="53" customWidth="1"/>
    <col min="15340" max="15340" width="14.140625" style="53" customWidth="1"/>
    <col min="15341" max="15341" width="27.140625" style="53" customWidth="1"/>
    <col min="15342" max="15342" width="16.28515625" style="53" customWidth="1"/>
    <col min="15343" max="15343" width="13.85546875" style="53" customWidth="1"/>
    <col min="15344" max="15586" width="9.140625" style="53"/>
    <col min="15587" max="15587" width="1.7109375" style="53" customWidth="1"/>
    <col min="15588" max="15589" width="4.7109375" style="53" customWidth="1"/>
    <col min="15590" max="15590" width="54.140625" style="53" customWidth="1"/>
    <col min="15591" max="15591" width="52" style="53" customWidth="1"/>
    <col min="15592" max="15592" width="5.28515625" style="53" customWidth="1"/>
    <col min="15593" max="15593" width="5.85546875" style="53" bestFit="1" customWidth="1"/>
    <col min="15594" max="15594" width="16.42578125" style="53" customWidth="1"/>
    <col min="15595" max="15595" width="4.5703125" style="53" customWidth="1"/>
    <col min="15596" max="15596" width="14.140625" style="53" customWidth="1"/>
    <col min="15597" max="15597" width="27.140625" style="53" customWidth="1"/>
    <col min="15598" max="15598" width="16.28515625" style="53" customWidth="1"/>
    <col min="15599" max="15599" width="13.85546875" style="53" customWidth="1"/>
    <col min="15600" max="15842" width="9.140625" style="53"/>
    <col min="15843" max="15843" width="1.7109375" style="53" customWidth="1"/>
    <col min="15844" max="15845" width="4.7109375" style="53" customWidth="1"/>
    <col min="15846" max="15846" width="54.140625" style="53" customWidth="1"/>
    <col min="15847" max="15847" width="52" style="53" customWidth="1"/>
    <col min="15848" max="15848" width="5.28515625" style="53" customWidth="1"/>
    <col min="15849" max="15849" width="5.85546875" style="53" bestFit="1" customWidth="1"/>
    <col min="15850" max="15850" width="16.42578125" style="53" customWidth="1"/>
    <col min="15851" max="15851" width="4.5703125" style="53" customWidth="1"/>
    <col min="15852" max="15852" width="14.140625" style="53" customWidth="1"/>
    <col min="15853" max="15853" width="27.140625" style="53" customWidth="1"/>
    <col min="15854" max="15854" width="16.28515625" style="53" customWidth="1"/>
    <col min="15855" max="15855" width="13.85546875" style="53" customWidth="1"/>
    <col min="15856" max="16098" width="9.140625" style="53"/>
    <col min="16099" max="16099" width="1.7109375" style="53" customWidth="1"/>
    <col min="16100" max="16101" width="4.7109375" style="53" customWidth="1"/>
    <col min="16102" max="16102" width="54.140625" style="53" customWidth="1"/>
    <col min="16103" max="16103" width="52" style="53" customWidth="1"/>
    <col min="16104" max="16104" width="5.28515625" style="53" customWidth="1"/>
    <col min="16105" max="16105" width="5.85546875" style="53" bestFit="1" customWidth="1"/>
    <col min="16106" max="16106" width="16.42578125" style="53" customWidth="1"/>
    <col min="16107" max="16107" width="4.5703125" style="53" customWidth="1"/>
    <col min="16108" max="16108" width="14.140625" style="53" customWidth="1"/>
    <col min="16109" max="16109" width="27.140625" style="53" customWidth="1"/>
    <col min="16110" max="16110" width="16.28515625" style="53" customWidth="1"/>
    <col min="16111" max="16111" width="13.85546875" style="53" customWidth="1"/>
    <col min="16112" max="16384" width="9.140625" style="53"/>
  </cols>
  <sheetData>
    <row r="1" spans="2:13" ht="15" customHeight="1" x14ac:dyDescent="0.25"/>
    <row r="2" spans="2:13" s="5" customFormat="1" ht="15.75" hidden="1" x14ac:dyDescent="0.25">
      <c r="B2" s="1414"/>
      <c r="C2" s="1645" t="s">
        <v>431</v>
      </c>
      <c r="D2" s="1645"/>
      <c r="E2" s="1645"/>
      <c r="F2" s="1645"/>
      <c r="G2" s="1645"/>
      <c r="H2" s="1645"/>
      <c r="I2" s="1645"/>
      <c r="J2" s="1412"/>
      <c r="K2" s="451"/>
    </row>
    <row r="3" spans="2:13" s="5" customFormat="1" ht="13.5" customHeight="1" x14ac:dyDescent="0.25">
      <c r="B3" s="1414"/>
      <c r="C3" s="1646" t="s">
        <v>532</v>
      </c>
      <c r="D3" s="1646"/>
      <c r="E3" s="1646"/>
      <c r="F3" s="1646"/>
      <c r="G3" s="1646"/>
      <c r="H3" s="1646"/>
      <c r="I3" s="1646"/>
      <c r="J3" s="1646"/>
      <c r="K3" s="1646"/>
    </row>
    <row r="4" spans="2:13" s="4" customFormat="1" ht="14.25" customHeight="1" x14ac:dyDescent="0.25">
      <c r="B4" s="1414"/>
      <c r="C4" s="1646" t="s">
        <v>1</v>
      </c>
      <c r="D4" s="1646"/>
      <c r="E4" s="1646"/>
      <c r="F4" s="1646"/>
      <c r="G4" s="1646"/>
      <c r="H4" s="1646"/>
      <c r="I4" s="1646"/>
      <c r="J4" s="1646"/>
      <c r="K4" s="1646"/>
    </row>
    <row r="5" spans="2:13" s="4" customFormat="1" ht="15.75" x14ac:dyDescent="0.25">
      <c r="B5" s="1414"/>
      <c r="C5" s="452"/>
      <c r="D5" s="453"/>
      <c r="E5" s="454"/>
      <c r="F5" s="455"/>
      <c r="G5" s="457"/>
      <c r="H5" s="457"/>
      <c r="I5" s="457"/>
      <c r="J5" s="457"/>
      <c r="K5" s="458"/>
    </row>
    <row r="6" spans="2:13" s="4" customFormat="1" ht="18" customHeight="1" thickBot="1" x14ac:dyDescent="0.3">
      <c r="B6" s="1414"/>
      <c r="C6" s="1413" t="s">
        <v>2</v>
      </c>
      <c r="D6" s="1505" t="s">
        <v>526</v>
      </c>
      <c r="E6" s="1505"/>
      <c r="F6" s="459"/>
      <c r="G6" s="457"/>
      <c r="H6" s="457"/>
      <c r="I6" s="457"/>
      <c r="J6" s="457"/>
      <c r="K6" s="458"/>
    </row>
    <row r="7" spans="2:13" s="4" customFormat="1" ht="3" hidden="1" customHeight="1" thickBot="1" x14ac:dyDescent="0.3">
      <c r="B7" s="1742"/>
      <c r="C7" s="6"/>
      <c r="D7" s="8"/>
      <c r="E7" s="9"/>
      <c r="F7" s="10"/>
      <c r="G7" s="12"/>
      <c r="H7" s="12"/>
      <c r="I7" s="12"/>
      <c r="J7" s="12"/>
      <c r="K7" s="1756"/>
    </row>
    <row r="8" spans="2:13" s="15" customFormat="1" ht="32.25" customHeight="1" thickTop="1" x14ac:dyDescent="0.25">
      <c r="B8" s="1742"/>
      <c r="C8" s="1757" t="s">
        <v>496</v>
      </c>
      <c r="D8" s="1759" t="s">
        <v>418</v>
      </c>
      <c r="E8" s="1760"/>
      <c r="F8" s="1763" t="s">
        <v>417</v>
      </c>
      <c r="G8" s="1765" t="s">
        <v>530</v>
      </c>
      <c r="H8" s="1765" t="s">
        <v>531</v>
      </c>
      <c r="I8" s="1765" t="s">
        <v>501</v>
      </c>
      <c r="J8" s="1767" t="s">
        <v>469</v>
      </c>
      <c r="K8" s="1756"/>
    </row>
    <row r="9" spans="2:13" s="15" customFormat="1" ht="24.75" customHeight="1" x14ac:dyDescent="0.25">
      <c r="B9" s="1742"/>
      <c r="C9" s="1758"/>
      <c r="D9" s="1761"/>
      <c r="E9" s="1762"/>
      <c r="F9" s="1764"/>
      <c r="G9" s="1766"/>
      <c r="H9" s="1766"/>
      <c r="I9" s="1766"/>
      <c r="J9" s="1768"/>
      <c r="K9" s="1756"/>
    </row>
    <row r="10" spans="2:13" s="29" customFormat="1" ht="32.25" customHeight="1" x14ac:dyDescent="0.25">
      <c r="B10" s="1742"/>
      <c r="C10" s="1769" t="s">
        <v>4</v>
      </c>
      <c r="D10" s="1770"/>
      <c r="E10" s="1771"/>
      <c r="F10" s="1376"/>
      <c r="G10" s="1377">
        <f>SUM(G18:G29)</f>
        <v>31636082971</v>
      </c>
      <c r="H10" s="1377">
        <f>SUM(H18:H29)</f>
        <v>37636082971</v>
      </c>
      <c r="I10" s="1378">
        <f>SUM(I11:I29)</f>
        <v>15500000000</v>
      </c>
      <c r="J10" s="1379"/>
      <c r="K10" s="1756"/>
      <c r="M10" s="396">
        <v>-37348487571</v>
      </c>
    </row>
    <row r="11" spans="2:13" s="62" customFormat="1" ht="43.5" customHeight="1" x14ac:dyDescent="0.25">
      <c r="B11" s="1742"/>
      <c r="C11" s="49" t="s">
        <v>5</v>
      </c>
      <c r="D11" s="1714" t="s">
        <v>229</v>
      </c>
      <c r="E11" s="1715"/>
      <c r="F11" s="760" t="s">
        <v>230</v>
      </c>
      <c r="G11" s="647">
        <v>1700000000</v>
      </c>
      <c r="H11" s="647">
        <v>0</v>
      </c>
      <c r="I11" s="647">
        <f t="shared" ref="I11:I27" si="0">H11-G11</f>
        <v>-1700000000</v>
      </c>
      <c r="J11" s="1381" t="s">
        <v>564</v>
      </c>
      <c r="K11" s="1756"/>
    </row>
    <row r="12" spans="2:13" s="62" customFormat="1" ht="51.75" customHeight="1" x14ac:dyDescent="0.25">
      <c r="B12" s="1742"/>
      <c r="C12" s="49" t="s">
        <v>10</v>
      </c>
      <c r="D12" s="1716" t="s">
        <v>220</v>
      </c>
      <c r="E12" s="1717"/>
      <c r="F12" s="763" t="s">
        <v>221</v>
      </c>
      <c r="G12" s="643">
        <v>1500000000</v>
      </c>
      <c r="H12" s="643">
        <v>0</v>
      </c>
      <c r="I12" s="643">
        <f t="shared" si="0"/>
        <v>-1500000000</v>
      </c>
      <c r="J12" s="1380" t="s">
        <v>565</v>
      </c>
      <c r="K12" s="1756"/>
    </row>
    <row r="13" spans="2:13" s="62" customFormat="1" ht="25.5" customHeight="1" x14ac:dyDescent="0.25">
      <c r="B13" s="1742"/>
      <c r="C13" s="49" t="s">
        <v>13</v>
      </c>
      <c r="D13" s="1738" t="s">
        <v>69</v>
      </c>
      <c r="E13" s="1739"/>
      <c r="F13" s="469" t="s">
        <v>137</v>
      </c>
      <c r="G13" s="626">
        <v>300000000</v>
      </c>
      <c r="H13" s="626">
        <v>250000000</v>
      </c>
      <c r="I13" s="626">
        <f t="shared" si="0"/>
        <v>-50000000</v>
      </c>
      <c r="J13" s="1382" t="s">
        <v>566</v>
      </c>
      <c r="K13" s="1756"/>
    </row>
    <row r="14" spans="2:13" s="62" customFormat="1" ht="27" customHeight="1" x14ac:dyDescent="0.25">
      <c r="B14" s="1742"/>
      <c r="C14" s="39" t="s">
        <v>16</v>
      </c>
      <c r="D14" s="1738" t="s">
        <v>78</v>
      </c>
      <c r="E14" s="1739"/>
      <c r="F14" s="469" t="s">
        <v>137</v>
      </c>
      <c r="G14" s="626">
        <v>750000000</v>
      </c>
      <c r="H14" s="626">
        <v>800000000</v>
      </c>
      <c r="I14" s="626">
        <f t="shared" si="0"/>
        <v>50000000</v>
      </c>
      <c r="J14" s="1382" t="s">
        <v>567</v>
      </c>
      <c r="K14" s="1756"/>
    </row>
    <row r="15" spans="2:13" s="113" customFormat="1" ht="43.5" customHeight="1" x14ac:dyDescent="0.25">
      <c r="B15" s="1742"/>
      <c r="C15" s="39" t="s">
        <v>19</v>
      </c>
      <c r="D15" s="1772" t="s">
        <v>80</v>
      </c>
      <c r="E15" s="1773"/>
      <c r="F15" s="1373" t="s">
        <v>137</v>
      </c>
      <c r="G15" s="1374">
        <v>850000000</v>
      </c>
      <c r="H15" s="1374">
        <v>1350000000</v>
      </c>
      <c r="I15" s="1374">
        <f t="shared" si="0"/>
        <v>500000000</v>
      </c>
      <c r="J15" s="1375" t="s">
        <v>528</v>
      </c>
      <c r="K15" s="1756"/>
    </row>
    <row r="16" spans="2:13" s="62" customFormat="1" ht="45.75" customHeight="1" x14ac:dyDescent="0.25">
      <c r="B16" s="1742"/>
      <c r="C16" s="39" t="s">
        <v>27</v>
      </c>
      <c r="D16" s="1582" t="s">
        <v>136</v>
      </c>
      <c r="E16" s="1583"/>
      <c r="F16" s="469" t="s">
        <v>137</v>
      </c>
      <c r="G16" s="626">
        <v>26300000000</v>
      </c>
      <c r="H16" s="626">
        <v>34000000000</v>
      </c>
      <c r="I16" s="626">
        <f t="shared" si="0"/>
        <v>7700000000</v>
      </c>
      <c r="J16" s="1382" t="s">
        <v>568</v>
      </c>
      <c r="K16" s="1756"/>
    </row>
    <row r="17" spans="2:11" s="29" customFormat="1" ht="61.5" customHeight="1" x14ac:dyDescent="0.25">
      <c r="B17" s="1742"/>
      <c r="C17" s="39" t="s">
        <v>30</v>
      </c>
      <c r="D17" s="1582" t="s">
        <v>145</v>
      </c>
      <c r="E17" s="1583"/>
      <c r="F17" s="1411" t="s">
        <v>146</v>
      </c>
      <c r="G17" s="625">
        <v>21200000000</v>
      </c>
      <c r="H17" s="625">
        <v>25700000000</v>
      </c>
      <c r="I17" s="625">
        <f t="shared" si="0"/>
        <v>4500000000</v>
      </c>
      <c r="J17" s="1384" t="s">
        <v>569</v>
      </c>
      <c r="K17" s="1756"/>
    </row>
    <row r="18" spans="2:11" s="62" customFormat="1" ht="29.25" customHeight="1" x14ac:dyDescent="0.25">
      <c r="B18" s="1742"/>
      <c r="C18" s="49" t="s">
        <v>8</v>
      </c>
      <c r="D18" s="1582" t="s">
        <v>167</v>
      </c>
      <c r="E18" s="1583"/>
      <c r="F18" s="469" t="s">
        <v>168</v>
      </c>
      <c r="G18" s="630">
        <v>11065000000</v>
      </c>
      <c r="H18" s="630">
        <v>12565000000</v>
      </c>
      <c r="I18" s="630">
        <f t="shared" si="0"/>
        <v>1500000000</v>
      </c>
      <c r="J18" s="1380" t="s">
        <v>570</v>
      </c>
      <c r="K18" s="1756"/>
    </row>
    <row r="19" spans="2:11" s="113" customFormat="1" ht="27.75" customHeight="1" x14ac:dyDescent="0.25">
      <c r="B19" s="1742"/>
      <c r="C19" s="39" t="s">
        <v>22</v>
      </c>
      <c r="D19" s="1744" t="s">
        <v>172</v>
      </c>
      <c r="E19" s="1745"/>
      <c r="F19" s="760" t="s">
        <v>230</v>
      </c>
      <c r="G19" s="643">
        <v>3000000000</v>
      </c>
      <c r="H19" s="643">
        <v>6500000000</v>
      </c>
      <c r="I19" s="896">
        <f t="shared" si="0"/>
        <v>3500000000</v>
      </c>
      <c r="J19" s="1385" t="s">
        <v>571</v>
      </c>
      <c r="K19" s="1756"/>
    </row>
    <row r="20" spans="2:11" s="29" customFormat="1" ht="30.75" customHeight="1" x14ac:dyDescent="0.25">
      <c r="B20" s="1742"/>
      <c r="C20" s="771" t="s">
        <v>210</v>
      </c>
      <c r="D20" s="1563" t="s">
        <v>227</v>
      </c>
      <c r="E20" s="1564"/>
      <c r="F20" s="74" t="s">
        <v>464</v>
      </c>
      <c r="G20" s="659">
        <v>11000000000</v>
      </c>
      <c r="H20" s="659">
        <v>12000000000</v>
      </c>
      <c r="I20" s="659">
        <f t="shared" si="0"/>
        <v>1000000000</v>
      </c>
      <c r="J20" s="1380" t="s">
        <v>572</v>
      </c>
      <c r="K20" s="1756"/>
    </row>
    <row r="21" spans="2:11" s="29" customFormat="1" ht="43.5" customHeight="1" x14ac:dyDescent="0.25">
      <c r="B21" s="1742"/>
      <c r="C21" s="771" t="s">
        <v>439</v>
      </c>
      <c r="D21" s="1563" t="s">
        <v>265</v>
      </c>
      <c r="E21" s="1564"/>
      <c r="F21" s="74" t="s">
        <v>464</v>
      </c>
      <c r="G21" s="659">
        <v>1000000000</v>
      </c>
      <c r="H21" s="659">
        <v>500000000</v>
      </c>
      <c r="I21" s="659">
        <f t="shared" si="0"/>
        <v>-500000000</v>
      </c>
      <c r="J21" s="1380" t="s">
        <v>573</v>
      </c>
      <c r="K21" s="1756"/>
    </row>
    <row r="22" spans="2:11" s="29" customFormat="1" ht="53.25" customHeight="1" x14ac:dyDescent="0.25">
      <c r="B22" s="1742"/>
      <c r="C22" s="771" t="s">
        <v>440</v>
      </c>
      <c r="D22" s="1618" t="s">
        <v>270</v>
      </c>
      <c r="E22" s="1620"/>
      <c r="F22" s="855" t="s">
        <v>271</v>
      </c>
      <c r="G22" s="660">
        <v>1045000000</v>
      </c>
      <c r="H22" s="660">
        <v>1545000000</v>
      </c>
      <c r="I22" s="660">
        <f t="shared" si="0"/>
        <v>500000000</v>
      </c>
      <c r="J22" s="1386" t="s">
        <v>574</v>
      </c>
      <c r="K22" s="1756"/>
    </row>
    <row r="23" spans="2:11" s="62" customFormat="1" ht="54.75" customHeight="1" x14ac:dyDescent="0.25">
      <c r="B23" s="1742"/>
      <c r="C23" s="771" t="s">
        <v>441</v>
      </c>
      <c r="D23" s="1563" t="s">
        <v>308</v>
      </c>
      <c r="E23" s="1564"/>
      <c r="F23" s="767" t="s">
        <v>309</v>
      </c>
      <c r="G23" s="617">
        <v>2126082971</v>
      </c>
      <c r="H23" s="617">
        <v>600000000</v>
      </c>
      <c r="I23" s="617">
        <f t="shared" si="0"/>
        <v>-1526082971</v>
      </c>
      <c r="J23" s="1387" t="s">
        <v>575</v>
      </c>
      <c r="K23" s="1756"/>
    </row>
    <row r="24" spans="2:11" s="29" customFormat="1" ht="30" customHeight="1" x14ac:dyDescent="0.25">
      <c r="B24" s="1742"/>
      <c r="C24" s="39" t="s">
        <v>442</v>
      </c>
      <c r="D24" s="1712" t="s">
        <v>317</v>
      </c>
      <c r="E24" s="1713"/>
      <c r="F24" s="772" t="s">
        <v>318</v>
      </c>
      <c r="G24" s="774">
        <v>100000000</v>
      </c>
      <c r="H24" s="774">
        <v>300000000</v>
      </c>
      <c r="I24" s="774">
        <f t="shared" si="0"/>
        <v>200000000</v>
      </c>
      <c r="J24" s="1388" t="s">
        <v>576</v>
      </c>
      <c r="K24" s="1756"/>
    </row>
    <row r="25" spans="2:11" s="343" customFormat="1" ht="31.5" customHeight="1" x14ac:dyDescent="0.25">
      <c r="B25" s="1742"/>
      <c r="C25" s="771" t="s">
        <v>443</v>
      </c>
      <c r="D25" s="1582" t="s">
        <v>320</v>
      </c>
      <c r="E25" s="1583"/>
      <c r="F25" s="772" t="s">
        <v>321</v>
      </c>
      <c r="G25" s="774">
        <v>200000000</v>
      </c>
      <c r="H25" s="774">
        <v>600000000</v>
      </c>
      <c r="I25" s="774">
        <f t="shared" si="0"/>
        <v>400000000</v>
      </c>
      <c r="J25" s="1389" t="s">
        <v>576</v>
      </c>
      <c r="K25" s="1756"/>
    </row>
    <row r="26" spans="2:11" s="29" customFormat="1" ht="34.5" customHeight="1" x14ac:dyDescent="0.25">
      <c r="B26" s="1742"/>
      <c r="C26" s="771" t="s">
        <v>444</v>
      </c>
      <c r="D26" s="1712" t="s">
        <v>322</v>
      </c>
      <c r="E26" s="1713"/>
      <c r="F26" s="772" t="s">
        <v>323</v>
      </c>
      <c r="G26" s="774">
        <v>100000000</v>
      </c>
      <c r="H26" s="774">
        <v>250000000</v>
      </c>
      <c r="I26" s="774">
        <f t="shared" si="0"/>
        <v>150000000</v>
      </c>
      <c r="J26" s="1390" t="s">
        <v>576</v>
      </c>
      <c r="K26" s="1756"/>
    </row>
    <row r="27" spans="2:11" s="29" customFormat="1" ht="28.5" customHeight="1" x14ac:dyDescent="0.25">
      <c r="B27" s="1742"/>
      <c r="C27" s="771" t="s">
        <v>445</v>
      </c>
      <c r="D27" s="1582" t="s">
        <v>335</v>
      </c>
      <c r="E27" s="1583"/>
      <c r="F27" s="856" t="s">
        <v>336</v>
      </c>
      <c r="G27" s="663">
        <v>2000000000</v>
      </c>
      <c r="H27" s="663">
        <v>2776082971</v>
      </c>
      <c r="I27" s="663">
        <f t="shared" si="0"/>
        <v>776082971</v>
      </c>
      <c r="J27" s="1391" t="s">
        <v>577</v>
      </c>
      <c r="K27" s="1756"/>
    </row>
    <row r="28" spans="2:11" s="62" customFormat="1" ht="25.5" hidden="1" customHeight="1" x14ac:dyDescent="0.25">
      <c r="B28" s="1742"/>
      <c r="C28" s="771" t="s">
        <v>446</v>
      </c>
      <c r="D28" s="1582"/>
      <c r="E28" s="1583"/>
      <c r="F28" s="856"/>
      <c r="G28" s="663"/>
      <c r="H28" s="663"/>
      <c r="I28" s="663"/>
      <c r="J28" s="1117"/>
      <c r="K28" s="1756"/>
    </row>
    <row r="29" spans="2:11" s="29" customFormat="1" ht="21" hidden="1" customHeight="1" x14ac:dyDescent="0.25">
      <c r="B29" s="1742"/>
      <c r="C29" s="39" t="s">
        <v>447</v>
      </c>
      <c r="D29" s="1582"/>
      <c r="E29" s="1583"/>
      <c r="F29" s="856"/>
      <c r="G29" s="663"/>
      <c r="H29" s="663"/>
      <c r="I29" s="663"/>
      <c r="J29" s="1117"/>
      <c r="K29" s="1756"/>
    </row>
    <row r="30" spans="2:11" ht="2.25" customHeight="1" thickBot="1" x14ac:dyDescent="0.3">
      <c r="B30" s="1742"/>
      <c r="C30" s="420"/>
      <c r="D30" s="422"/>
      <c r="E30" s="423"/>
      <c r="F30" s="424"/>
      <c r="G30" s="672"/>
      <c r="H30" s="672"/>
      <c r="I30" s="672"/>
      <c r="J30" s="426"/>
      <c r="K30" s="1756"/>
    </row>
    <row r="31" spans="2:11" ht="3" customHeight="1" thickTop="1" x14ac:dyDescent="0.25">
      <c r="B31" s="1742"/>
      <c r="K31" s="1756"/>
    </row>
    <row r="42" spans="2:11" ht="15.75" x14ac:dyDescent="0.25">
      <c r="B42" s="1646" t="s">
        <v>532</v>
      </c>
      <c r="C42" s="1646"/>
      <c r="D42" s="1646"/>
      <c r="E42" s="1646"/>
      <c r="F42" s="1646"/>
      <c r="G42" s="1646"/>
      <c r="H42" s="1646"/>
      <c r="I42" s="1646"/>
      <c r="J42" s="1646"/>
      <c r="K42" s="1646"/>
    </row>
    <row r="43" spans="2:11" ht="15.75" x14ac:dyDescent="0.25">
      <c r="B43" s="1646" t="s">
        <v>1</v>
      </c>
      <c r="C43" s="1646"/>
      <c r="D43" s="1646"/>
      <c r="E43" s="1646"/>
      <c r="F43" s="1646"/>
      <c r="G43" s="1646"/>
      <c r="H43" s="1646"/>
      <c r="I43" s="1646"/>
      <c r="J43" s="1646"/>
      <c r="K43" s="1646"/>
    </row>
    <row r="44" spans="2:11" ht="15.75" x14ac:dyDescent="0.25">
      <c r="B44" s="1414"/>
      <c r="C44" s="452"/>
      <c r="D44" s="453"/>
      <c r="E44" s="454"/>
      <c r="F44" s="455"/>
      <c r="G44" s="457"/>
      <c r="H44" s="457"/>
      <c r="I44" s="457"/>
      <c r="J44" s="457"/>
      <c r="K44" s="458"/>
    </row>
    <row r="45" spans="2:11" ht="15.75" x14ac:dyDescent="0.25">
      <c r="B45" s="1414"/>
      <c r="C45" s="1413" t="s">
        <v>2</v>
      </c>
      <c r="D45" s="1505" t="s">
        <v>526</v>
      </c>
      <c r="E45" s="1505"/>
      <c r="F45" s="459"/>
      <c r="G45" s="457"/>
      <c r="H45" s="457"/>
      <c r="I45" s="457"/>
      <c r="J45" s="457"/>
      <c r="K45" s="458"/>
    </row>
    <row r="46" spans="2:11" ht="3" customHeight="1" thickBot="1" x14ac:dyDescent="0.3">
      <c r="B46" s="1742"/>
      <c r="C46" s="6"/>
      <c r="D46" s="8"/>
      <c r="E46" s="9"/>
      <c r="F46" s="10"/>
      <c r="G46" s="12"/>
      <c r="H46" s="12"/>
      <c r="I46" s="12"/>
      <c r="J46" s="12"/>
      <c r="K46" s="1756"/>
    </row>
    <row r="47" spans="2:11" ht="13.5" thickTop="1" x14ac:dyDescent="0.25">
      <c r="B47" s="1742"/>
      <c r="C47" s="1757" t="s">
        <v>496</v>
      </c>
      <c r="D47" s="1759" t="s">
        <v>418</v>
      </c>
      <c r="E47" s="1760"/>
      <c r="F47" s="1763" t="s">
        <v>417</v>
      </c>
      <c r="G47" s="1765" t="s">
        <v>530</v>
      </c>
      <c r="H47" s="1765" t="s">
        <v>531</v>
      </c>
      <c r="I47" s="1765" t="s">
        <v>501</v>
      </c>
      <c r="J47" s="1767" t="s">
        <v>469</v>
      </c>
      <c r="K47" s="1756"/>
    </row>
    <row r="48" spans="2:11" ht="34.5" customHeight="1" x14ac:dyDescent="0.25">
      <c r="B48" s="1742"/>
      <c r="C48" s="1758"/>
      <c r="D48" s="1761"/>
      <c r="E48" s="1762"/>
      <c r="F48" s="1764"/>
      <c r="G48" s="1766"/>
      <c r="H48" s="1766"/>
      <c r="I48" s="1766"/>
      <c r="J48" s="1768"/>
      <c r="K48" s="1756"/>
    </row>
    <row r="49" spans="2:13" ht="27" customHeight="1" x14ac:dyDescent="0.25">
      <c r="B49" s="1742"/>
      <c r="C49" s="1769" t="s">
        <v>4</v>
      </c>
      <c r="D49" s="1770"/>
      <c r="E49" s="1771"/>
      <c r="F49" s="1376"/>
      <c r="G49" s="1377">
        <f>SUM(G50:G68)</f>
        <v>80836082971</v>
      </c>
      <c r="H49" s="1377">
        <f>SUM(H50:H68)</f>
        <v>102336082971</v>
      </c>
      <c r="I49" s="1378">
        <f>SUM(I50:I68)</f>
        <v>21500000000</v>
      </c>
      <c r="J49" s="1379"/>
      <c r="K49" s="1756"/>
    </row>
    <row r="50" spans="2:13" ht="26.25" customHeight="1" x14ac:dyDescent="0.25">
      <c r="B50" s="1742"/>
      <c r="C50" s="49" t="s">
        <v>5</v>
      </c>
      <c r="D50" s="1787" t="s">
        <v>229</v>
      </c>
      <c r="E50" s="1788"/>
      <c r="F50" s="760" t="s">
        <v>230</v>
      </c>
      <c r="G50" s="647">
        <v>1700000000</v>
      </c>
      <c r="H50" s="647">
        <v>0</v>
      </c>
      <c r="I50" s="647">
        <f t="shared" ref="I50:I68" si="1">H50-G50</f>
        <v>-1700000000</v>
      </c>
      <c r="J50" s="1381" t="s">
        <v>564</v>
      </c>
      <c r="K50" s="1756"/>
      <c r="L50" s="53" t="s">
        <v>586</v>
      </c>
      <c r="M50" s="53" t="s">
        <v>587</v>
      </c>
    </row>
    <row r="51" spans="2:13" ht="44.25" customHeight="1" x14ac:dyDescent="0.25">
      <c r="B51" s="1742"/>
      <c r="C51" s="49" t="s">
        <v>10</v>
      </c>
      <c r="D51" s="1789" t="s">
        <v>220</v>
      </c>
      <c r="E51" s="1790"/>
      <c r="F51" s="763" t="s">
        <v>221</v>
      </c>
      <c r="G51" s="643">
        <v>1500000000</v>
      </c>
      <c r="H51" s="643">
        <v>0</v>
      </c>
      <c r="I51" s="643">
        <f t="shared" si="1"/>
        <v>-1500000000</v>
      </c>
      <c r="J51" s="1380" t="s">
        <v>565</v>
      </c>
      <c r="K51" s="1756"/>
      <c r="L51" s="53" t="s">
        <v>586</v>
      </c>
      <c r="M51" s="53" t="s">
        <v>587</v>
      </c>
    </row>
    <row r="52" spans="2:13" ht="28.5" customHeight="1" x14ac:dyDescent="0.25">
      <c r="B52" s="1742"/>
      <c r="C52" s="49" t="s">
        <v>13</v>
      </c>
      <c r="D52" s="1791" t="s">
        <v>69</v>
      </c>
      <c r="E52" s="1792"/>
      <c r="F52" s="469" t="s">
        <v>137</v>
      </c>
      <c r="G52" s="626">
        <v>300000000</v>
      </c>
      <c r="H52" s="626">
        <v>250000000</v>
      </c>
      <c r="I52" s="626">
        <f t="shared" si="1"/>
        <v>-50000000</v>
      </c>
      <c r="J52" s="1382" t="s">
        <v>566</v>
      </c>
      <c r="K52" s="1756"/>
      <c r="L52" s="53" t="s">
        <v>586</v>
      </c>
      <c r="M52" s="53" t="s">
        <v>587</v>
      </c>
    </row>
    <row r="53" spans="2:13" ht="22.5" customHeight="1" x14ac:dyDescent="0.25">
      <c r="B53" s="1742"/>
      <c r="C53" s="39" t="s">
        <v>16</v>
      </c>
      <c r="D53" s="1738" t="s">
        <v>78</v>
      </c>
      <c r="E53" s="1739"/>
      <c r="F53" s="469" t="s">
        <v>137</v>
      </c>
      <c r="G53" s="626">
        <v>750000000</v>
      </c>
      <c r="H53" s="626">
        <v>800000000</v>
      </c>
      <c r="I53" s="626">
        <f t="shared" si="1"/>
        <v>50000000</v>
      </c>
      <c r="J53" s="1382" t="s">
        <v>567</v>
      </c>
      <c r="K53" s="1756"/>
    </row>
    <row r="54" spans="2:13" ht="24" customHeight="1" x14ac:dyDescent="0.25">
      <c r="B54" s="1742"/>
      <c r="C54" s="39" t="s">
        <v>19</v>
      </c>
      <c r="D54" s="1582" t="s">
        <v>80</v>
      </c>
      <c r="E54" s="1583"/>
      <c r="F54" s="469" t="s">
        <v>137</v>
      </c>
      <c r="G54" s="626">
        <v>850000000</v>
      </c>
      <c r="H54" s="626">
        <v>1350000000</v>
      </c>
      <c r="I54" s="626">
        <f t="shared" si="1"/>
        <v>500000000</v>
      </c>
      <c r="J54" s="1382" t="s">
        <v>584</v>
      </c>
      <c r="K54" s="1756"/>
    </row>
    <row r="55" spans="2:13" ht="43.5" customHeight="1" x14ac:dyDescent="0.25">
      <c r="B55" s="1742"/>
      <c r="C55" s="39" t="s">
        <v>27</v>
      </c>
      <c r="D55" s="1582" t="s">
        <v>136</v>
      </c>
      <c r="E55" s="1583"/>
      <c r="F55" s="469" t="s">
        <v>137</v>
      </c>
      <c r="G55" s="626">
        <v>26300000000</v>
      </c>
      <c r="H55" s="626">
        <v>38000000000</v>
      </c>
      <c r="I55" s="626">
        <f t="shared" si="1"/>
        <v>11700000000</v>
      </c>
      <c r="J55" s="1382" t="s">
        <v>568</v>
      </c>
      <c r="K55" s="1756"/>
    </row>
    <row r="56" spans="2:13" ht="53.25" customHeight="1" x14ac:dyDescent="0.25">
      <c r="B56" s="1742"/>
      <c r="C56" s="39" t="s">
        <v>30</v>
      </c>
      <c r="D56" s="1582" t="s">
        <v>145</v>
      </c>
      <c r="E56" s="1583"/>
      <c r="F56" s="1411" t="s">
        <v>146</v>
      </c>
      <c r="G56" s="625">
        <v>21200000000</v>
      </c>
      <c r="H56" s="625">
        <v>27200000000</v>
      </c>
      <c r="I56" s="625">
        <f t="shared" si="1"/>
        <v>6000000000</v>
      </c>
      <c r="J56" s="1384" t="s">
        <v>569</v>
      </c>
      <c r="K56" s="1756"/>
    </row>
    <row r="57" spans="2:13" ht="25.5" customHeight="1" x14ac:dyDescent="0.25">
      <c r="B57" s="1742"/>
      <c r="C57" s="49" t="s">
        <v>8</v>
      </c>
      <c r="D57" s="1582" t="s">
        <v>167</v>
      </c>
      <c r="E57" s="1583"/>
      <c r="F57" s="469" t="s">
        <v>168</v>
      </c>
      <c r="G57" s="630">
        <v>11065000000</v>
      </c>
      <c r="H57" s="630">
        <v>11565000000</v>
      </c>
      <c r="I57" s="630">
        <f t="shared" si="1"/>
        <v>500000000</v>
      </c>
      <c r="J57" s="1380" t="s">
        <v>570</v>
      </c>
      <c r="K57" s="1756"/>
    </row>
    <row r="58" spans="2:13" ht="25.5" customHeight="1" x14ac:dyDescent="0.25">
      <c r="B58" s="1742"/>
      <c r="C58" s="39" t="s">
        <v>22</v>
      </c>
      <c r="D58" s="1744" t="s">
        <v>172</v>
      </c>
      <c r="E58" s="1745"/>
      <c r="F58" s="760" t="s">
        <v>230</v>
      </c>
      <c r="G58" s="643">
        <v>3000000000</v>
      </c>
      <c r="H58" s="643">
        <v>9000000000</v>
      </c>
      <c r="I58" s="896">
        <f t="shared" si="1"/>
        <v>6000000000</v>
      </c>
      <c r="J58" s="1385" t="s">
        <v>580</v>
      </c>
      <c r="K58" s="1756"/>
    </row>
    <row r="59" spans="2:13" ht="19.5" customHeight="1" x14ac:dyDescent="0.25">
      <c r="B59" s="1742"/>
      <c r="C59" s="771" t="s">
        <v>210</v>
      </c>
      <c r="D59" s="1563" t="s">
        <v>105</v>
      </c>
      <c r="E59" s="1564"/>
      <c r="F59" s="74" t="s">
        <v>464</v>
      </c>
      <c r="G59" s="659">
        <v>0</v>
      </c>
      <c r="H59" s="659">
        <v>300000000</v>
      </c>
      <c r="I59" s="659">
        <f t="shared" si="1"/>
        <v>300000000</v>
      </c>
      <c r="J59" s="1380" t="s">
        <v>581</v>
      </c>
      <c r="K59" s="1756"/>
    </row>
    <row r="60" spans="2:13" ht="29.25" customHeight="1" x14ac:dyDescent="0.25">
      <c r="B60" s="1742"/>
      <c r="C60" s="771" t="s">
        <v>439</v>
      </c>
      <c r="D60" s="1793" t="s">
        <v>246</v>
      </c>
      <c r="E60" s="1794"/>
      <c r="F60" s="74" t="s">
        <v>464</v>
      </c>
      <c r="G60" s="659">
        <v>6000000000</v>
      </c>
      <c r="H60" s="659">
        <v>6500000000</v>
      </c>
      <c r="I60" s="659">
        <f t="shared" si="1"/>
        <v>500000000</v>
      </c>
      <c r="J60" s="1380" t="s">
        <v>585</v>
      </c>
      <c r="K60" s="1756"/>
      <c r="M60" s="53" t="s">
        <v>587</v>
      </c>
    </row>
    <row r="61" spans="2:13" ht="42" customHeight="1" x14ac:dyDescent="0.25">
      <c r="B61" s="1742"/>
      <c r="C61" s="771" t="s">
        <v>440</v>
      </c>
      <c r="D61" s="1563" t="s">
        <v>265</v>
      </c>
      <c r="E61" s="1564"/>
      <c r="F61" s="74" t="s">
        <v>464</v>
      </c>
      <c r="G61" s="659">
        <v>1000000000</v>
      </c>
      <c r="H61" s="659">
        <v>500000000</v>
      </c>
      <c r="I61" s="659">
        <f t="shared" si="1"/>
        <v>-500000000</v>
      </c>
      <c r="J61" s="1380" t="s">
        <v>578</v>
      </c>
      <c r="K61" s="1756"/>
    </row>
    <row r="62" spans="2:13" ht="41.25" customHeight="1" x14ac:dyDescent="0.25">
      <c r="B62" s="1742"/>
      <c r="C62" s="771" t="s">
        <v>441</v>
      </c>
      <c r="D62" s="1795" t="s">
        <v>270</v>
      </c>
      <c r="E62" s="1796"/>
      <c r="F62" s="855" t="s">
        <v>271</v>
      </c>
      <c r="G62" s="660">
        <v>1045000000</v>
      </c>
      <c r="H62" s="660">
        <v>1545000000</v>
      </c>
      <c r="I62" s="660">
        <f t="shared" si="1"/>
        <v>500000000</v>
      </c>
      <c r="J62" s="1386" t="s">
        <v>574</v>
      </c>
      <c r="K62" s="1756"/>
    </row>
    <row r="63" spans="2:13" ht="26.25" customHeight="1" x14ac:dyDescent="0.25">
      <c r="B63" s="1742"/>
      <c r="C63" s="39" t="s">
        <v>442</v>
      </c>
      <c r="D63" s="1793" t="s">
        <v>296</v>
      </c>
      <c r="E63" s="1794"/>
      <c r="F63" s="767" t="s">
        <v>309</v>
      </c>
      <c r="G63" s="617">
        <v>1600000000</v>
      </c>
      <c r="H63" s="617">
        <v>800000000</v>
      </c>
      <c r="I63" s="617">
        <f t="shared" si="1"/>
        <v>-800000000</v>
      </c>
      <c r="J63" s="1387" t="s">
        <v>583</v>
      </c>
      <c r="K63" s="1756"/>
      <c r="M63" s="53" t="s">
        <v>587</v>
      </c>
    </row>
    <row r="64" spans="2:13" ht="51.75" customHeight="1" x14ac:dyDescent="0.25">
      <c r="B64" s="1742"/>
      <c r="C64" s="771" t="s">
        <v>443</v>
      </c>
      <c r="D64" s="1797" t="s">
        <v>308</v>
      </c>
      <c r="E64" s="1798"/>
      <c r="F64" s="767" t="s">
        <v>309</v>
      </c>
      <c r="G64" s="617">
        <v>2126082971</v>
      </c>
      <c r="H64" s="617">
        <v>600000000</v>
      </c>
      <c r="I64" s="617">
        <f t="shared" si="1"/>
        <v>-1526082971</v>
      </c>
      <c r="J64" s="1387" t="s">
        <v>582</v>
      </c>
      <c r="K64" s="1756"/>
      <c r="L64" s="53" t="s">
        <v>586</v>
      </c>
    </row>
    <row r="65" spans="2:13" ht="35.25" customHeight="1" x14ac:dyDescent="0.25">
      <c r="B65" s="1742"/>
      <c r="C65" s="771" t="s">
        <v>444</v>
      </c>
      <c r="D65" s="1799" t="s">
        <v>317</v>
      </c>
      <c r="E65" s="1800"/>
      <c r="F65" s="772" t="s">
        <v>318</v>
      </c>
      <c r="G65" s="774">
        <v>100000000</v>
      </c>
      <c r="H65" s="774">
        <v>300000000</v>
      </c>
      <c r="I65" s="774">
        <f t="shared" si="1"/>
        <v>200000000</v>
      </c>
      <c r="J65" s="1388" t="s">
        <v>576</v>
      </c>
      <c r="K65" s="1756"/>
      <c r="L65" s="53" t="s">
        <v>586</v>
      </c>
      <c r="M65" s="53" t="s">
        <v>587</v>
      </c>
    </row>
    <row r="66" spans="2:13" ht="27.75" customHeight="1" x14ac:dyDescent="0.25">
      <c r="B66" s="1742"/>
      <c r="C66" s="771" t="s">
        <v>445</v>
      </c>
      <c r="D66" s="1801" t="s">
        <v>320</v>
      </c>
      <c r="E66" s="1802"/>
      <c r="F66" s="772" t="s">
        <v>321</v>
      </c>
      <c r="G66" s="774">
        <v>200000000</v>
      </c>
      <c r="H66" s="774">
        <v>600000000</v>
      </c>
      <c r="I66" s="774">
        <f t="shared" si="1"/>
        <v>400000000</v>
      </c>
      <c r="J66" s="1389" t="s">
        <v>576</v>
      </c>
      <c r="K66" s="1756"/>
      <c r="L66" s="53" t="s">
        <v>586</v>
      </c>
      <c r="M66" s="53" t="s">
        <v>587</v>
      </c>
    </row>
    <row r="67" spans="2:13" ht="33" customHeight="1" x14ac:dyDescent="0.25">
      <c r="B67" s="1742"/>
      <c r="C67" s="771" t="s">
        <v>446</v>
      </c>
      <c r="D67" s="1799" t="s">
        <v>322</v>
      </c>
      <c r="E67" s="1800"/>
      <c r="F67" s="772" t="s">
        <v>323</v>
      </c>
      <c r="G67" s="774">
        <v>100000000</v>
      </c>
      <c r="H67" s="774">
        <v>250000000</v>
      </c>
      <c r="I67" s="774">
        <f t="shared" si="1"/>
        <v>150000000</v>
      </c>
      <c r="J67" s="1390" t="s">
        <v>576</v>
      </c>
      <c r="K67" s="1756"/>
      <c r="L67" s="53" t="s">
        <v>586</v>
      </c>
      <c r="M67" s="53" t="s">
        <v>587</v>
      </c>
    </row>
    <row r="68" spans="2:13" ht="26.25" customHeight="1" x14ac:dyDescent="0.25">
      <c r="B68" s="1742"/>
      <c r="C68" s="39" t="s">
        <v>447</v>
      </c>
      <c r="D68" s="1803" t="s">
        <v>335</v>
      </c>
      <c r="E68" s="1804"/>
      <c r="F68" s="856" t="s">
        <v>336</v>
      </c>
      <c r="G68" s="663">
        <v>2000000000</v>
      </c>
      <c r="H68" s="663">
        <v>2776082971</v>
      </c>
      <c r="I68" s="663">
        <f t="shared" si="1"/>
        <v>776082971</v>
      </c>
      <c r="J68" s="1391" t="s">
        <v>577</v>
      </c>
      <c r="K68" s="1756"/>
      <c r="M68" s="53" t="s">
        <v>587</v>
      </c>
    </row>
    <row r="69" spans="2:13" ht="4.5" customHeight="1" thickBot="1" x14ac:dyDescent="0.3">
      <c r="B69" s="1742"/>
      <c r="C69" s="420"/>
      <c r="D69" s="422"/>
      <c r="E69" s="423"/>
      <c r="F69" s="424"/>
      <c r="G69" s="672"/>
      <c r="H69" s="672"/>
      <c r="I69" s="672"/>
      <c r="J69" s="426"/>
      <c r="K69" s="1756"/>
    </row>
    <row r="70" spans="2:13" ht="3.75" customHeight="1" thickTop="1" x14ac:dyDescent="0.25">
      <c r="B70" s="1742"/>
      <c r="K70" s="1756"/>
    </row>
    <row r="81" spans="2:11" ht="15.75" x14ac:dyDescent="0.25">
      <c r="B81" s="1646" t="s">
        <v>532</v>
      </c>
      <c r="C81" s="1646"/>
      <c r="D81" s="1646"/>
      <c r="E81" s="1646"/>
      <c r="F81" s="1646"/>
      <c r="G81" s="1646"/>
      <c r="H81" s="1646"/>
      <c r="I81" s="1646"/>
      <c r="J81" s="1646"/>
      <c r="K81" s="1646"/>
    </row>
    <row r="82" spans="2:11" ht="15.75" x14ac:dyDescent="0.25">
      <c r="B82" s="1646" t="s">
        <v>1</v>
      </c>
      <c r="C82" s="1646"/>
      <c r="D82" s="1646"/>
      <c r="E82" s="1646"/>
      <c r="F82" s="1646"/>
      <c r="G82" s="1646"/>
      <c r="H82" s="1646"/>
      <c r="I82" s="1646"/>
      <c r="J82" s="1646"/>
      <c r="K82" s="1646"/>
    </row>
    <row r="83" spans="2:11" ht="15.75" x14ac:dyDescent="0.25">
      <c r="B83" s="1414"/>
      <c r="C83" s="452"/>
      <c r="D83" s="453"/>
      <c r="E83" s="454"/>
      <c r="F83" s="455"/>
      <c r="G83" s="457"/>
      <c r="H83" s="457"/>
      <c r="I83" s="457"/>
      <c r="J83" s="457"/>
      <c r="K83" s="458"/>
    </row>
    <row r="84" spans="2:11" ht="15.75" x14ac:dyDescent="0.25">
      <c r="B84" s="1414"/>
      <c r="C84" s="1413" t="s">
        <v>2</v>
      </c>
      <c r="D84" s="1505" t="s">
        <v>526</v>
      </c>
      <c r="E84" s="1505"/>
      <c r="F84" s="459"/>
      <c r="G84" s="457"/>
      <c r="H84" s="457"/>
      <c r="I84" s="457"/>
      <c r="J84" s="457"/>
      <c r="K84" s="458"/>
    </row>
    <row r="85" spans="2:11" ht="13.5" thickBot="1" x14ac:dyDescent="0.3">
      <c r="B85" s="1742"/>
      <c r="C85" s="6"/>
      <c r="D85" s="8"/>
      <c r="E85" s="9"/>
      <c r="F85" s="10"/>
      <c r="G85" s="12"/>
      <c r="H85" s="12"/>
      <c r="I85" s="12"/>
      <c r="J85" s="12"/>
      <c r="K85" s="1756"/>
    </row>
    <row r="86" spans="2:11" ht="13.5" thickTop="1" x14ac:dyDescent="0.25">
      <c r="B86" s="1742"/>
      <c r="C86" s="1757" t="s">
        <v>496</v>
      </c>
      <c r="D86" s="1759" t="s">
        <v>418</v>
      </c>
      <c r="E86" s="1760"/>
      <c r="F86" s="1763" t="s">
        <v>417</v>
      </c>
      <c r="G86" s="1765" t="s">
        <v>530</v>
      </c>
      <c r="H86" s="1765" t="s">
        <v>531</v>
      </c>
      <c r="I86" s="1767" t="s">
        <v>501</v>
      </c>
      <c r="J86" s="1774" t="s">
        <v>469</v>
      </c>
      <c r="K86" s="1756"/>
    </row>
    <row r="87" spans="2:11" ht="37.5" customHeight="1" x14ac:dyDescent="0.25">
      <c r="B87" s="1742"/>
      <c r="C87" s="1758"/>
      <c r="D87" s="1761"/>
      <c r="E87" s="1762"/>
      <c r="F87" s="1764"/>
      <c r="G87" s="1766"/>
      <c r="H87" s="1766"/>
      <c r="I87" s="1768"/>
      <c r="J87" s="1775"/>
      <c r="K87" s="1756"/>
    </row>
    <row r="88" spans="2:11" ht="16.5" x14ac:dyDescent="0.25">
      <c r="B88" s="1742"/>
      <c r="C88" s="1769" t="s">
        <v>4</v>
      </c>
      <c r="D88" s="1770"/>
      <c r="E88" s="1771"/>
      <c r="F88" s="1376"/>
      <c r="G88" s="1377">
        <f>SUM(G89:G107)</f>
        <v>80836082971</v>
      </c>
      <c r="H88" s="1377">
        <f>SUM(H89:H107)</f>
        <v>95836082971</v>
      </c>
      <c r="I88" s="1379">
        <f>SUM(I89:I107)</f>
        <v>15000000000</v>
      </c>
      <c r="J88" s="1392"/>
      <c r="K88" s="1756"/>
    </row>
    <row r="89" spans="2:11" ht="20.25" customHeight="1" x14ac:dyDescent="0.25">
      <c r="B89" s="1742"/>
      <c r="C89" s="49" t="s">
        <v>5</v>
      </c>
      <c r="D89" s="1714"/>
      <c r="E89" s="1715"/>
      <c r="F89" s="760" t="s">
        <v>230</v>
      </c>
      <c r="G89" s="647">
        <v>1700000000</v>
      </c>
      <c r="H89" s="647">
        <v>0</v>
      </c>
      <c r="I89" s="274">
        <f t="shared" ref="I89:I107" si="2">H89-G89</f>
        <v>-1700000000</v>
      </c>
      <c r="J89" s="1393"/>
      <c r="K89" s="1756"/>
    </row>
    <row r="90" spans="2:11" ht="20.25" customHeight="1" x14ac:dyDescent="0.25">
      <c r="B90" s="1742"/>
      <c r="C90" s="49" t="s">
        <v>10</v>
      </c>
      <c r="D90" s="1716"/>
      <c r="E90" s="1717"/>
      <c r="F90" s="763" t="s">
        <v>221</v>
      </c>
      <c r="G90" s="643">
        <v>1500000000</v>
      </c>
      <c r="H90" s="643">
        <v>0</v>
      </c>
      <c r="I90" s="241">
        <f t="shared" si="2"/>
        <v>-1500000000</v>
      </c>
      <c r="J90" s="1394"/>
      <c r="K90" s="1756"/>
    </row>
    <row r="91" spans="2:11" ht="20.25" customHeight="1" x14ac:dyDescent="0.25">
      <c r="B91" s="1742"/>
      <c r="C91" s="49" t="s">
        <v>13</v>
      </c>
      <c r="D91" s="1738"/>
      <c r="E91" s="1739"/>
      <c r="F91" s="469" t="s">
        <v>137</v>
      </c>
      <c r="G91" s="626">
        <v>300000000</v>
      </c>
      <c r="H91" s="626">
        <v>250000000</v>
      </c>
      <c r="I91" s="117">
        <f t="shared" si="2"/>
        <v>-50000000</v>
      </c>
      <c r="J91" s="1395"/>
      <c r="K91" s="1756"/>
    </row>
    <row r="92" spans="2:11" ht="20.25" customHeight="1" x14ac:dyDescent="0.25">
      <c r="B92" s="1742"/>
      <c r="C92" s="39" t="s">
        <v>16</v>
      </c>
      <c r="D92" s="1738"/>
      <c r="E92" s="1739"/>
      <c r="F92" s="469" t="s">
        <v>137</v>
      </c>
      <c r="G92" s="626">
        <v>750000000</v>
      </c>
      <c r="H92" s="626">
        <v>800000000</v>
      </c>
      <c r="I92" s="117">
        <f t="shared" si="2"/>
        <v>50000000</v>
      </c>
      <c r="J92" s="1395"/>
      <c r="K92" s="1756"/>
    </row>
    <row r="93" spans="2:11" ht="20.25" customHeight="1" x14ac:dyDescent="0.25">
      <c r="B93" s="1742"/>
      <c r="C93" s="39" t="s">
        <v>19</v>
      </c>
      <c r="D93" s="1582"/>
      <c r="E93" s="1583"/>
      <c r="F93" s="469" t="s">
        <v>137</v>
      </c>
      <c r="G93" s="626">
        <v>850000000</v>
      </c>
      <c r="H93" s="626">
        <v>1350000000</v>
      </c>
      <c r="I93" s="117">
        <f t="shared" si="2"/>
        <v>500000000</v>
      </c>
      <c r="J93" s="1395"/>
      <c r="K93" s="1756"/>
    </row>
    <row r="94" spans="2:11" ht="20.25" customHeight="1" x14ac:dyDescent="0.25">
      <c r="B94" s="1742"/>
      <c r="C94" s="39" t="s">
        <v>27</v>
      </c>
      <c r="D94" s="1582"/>
      <c r="E94" s="1583"/>
      <c r="F94" s="469" t="s">
        <v>137</v>
      </c>
      <c r="G94" s="626">
        <v>26300000000</v>
      </c>
      <c r="H94" s="626">
        <v>35500000000</v>
      </c>
      <c r="I94" s="117">
        <f t="shared" si="2"/>
        <v>9200000000</v>
      </c>
      <c r="J94" s="1395"/>
      <c r="K94" s="1756"/>
    </row>
    <row r="95" spans="2:11" ht="20.25" customHeight="1" x14ac:dyDescent="0.25">
      <c r="B95" s="1742"/>
      <c r="C95" s="39" t="s">
        <v>30</v>
      </c>
      <c r="D95" s="1582"/>
      <c r="E95" s="1583"/>
      <c r="F95" s="1411" t="s">
        <v>146</v>
      </c>
      <c r="G95" s="625">
        <v>21200000000</v>
      </c>
      <c r="H95" s="625">
        <v>25700000000</v>
      </c>
      <c r="I95" s="111">
        <f t="shared" si="2"/>
        <v>4500000000</v>
      </c>
      <c r="J95" s="1396"/>
      <c r="K95" s="1756"/>
    </row>
    <row r="96" spans="2:11" ht="20.25" customHeight="1" x14ac:dyDescent="0.25">
      <c r="B96" s="1742"/>
      <c r="C96" s="49" t="s">
        <v>8</v>
      </c>
      <c r="D96" s="1582"/>
      <c r="E96" s="1583"/>
      <c r="F96" s="469" t="s">
        <v>168</v>
      </c>
      <c r="G96" s="630">
        <v>11065000000</v>
      </c>
      <c r="H96" s="630">
        <v>11565000000</v>
      </c>
      <c r="I96" s="146">
        <f t="shared" si="2"/>
        <v>500000000</v>
      </c>
      <c r="J96" s="1394"/>
      <c r="K96" s="1756"/>
    </row>
    <row r="97" spans="2:11" ht="20.25" customHeight="1" x14ac:dyDescent="0.25">
      <c r="B97" s="1742"/>
      <c r="C97" s="39" t="s">
        <v>22</v>
      </c>
      <c r="D97" s="1744"/>
      <c r="E97" s="1745"/>
      <c r="F97" s="760" t="s">
        <v>230</v>
      </c>
      <c r="G97" s="643">
        <v>3000000000</v>
      </c>
      <c r="H97" s="643">
        <v>6500000000</v>
      </c>
      <c r="I97" s="241">
        <f t="shared" si="2"/>
        <v>3500000000</v>
      </c>
      <c r="J97" s="1397"/>
      <c r="K97" s="1756"/>
    </row>
    <row r="98" spans="2:11" ht="20.25" customHeight="1" x14ac:dyDescent="0.25">
      <c r="B98" s="1742"/>
      <c r="C98" s="771" t="s">
        <v>210</v>
      </c>
      <c r="D98" s="1563"/>
      <c r="E98" s="1564"/>
      <c r="F98" s="74" t="s">
        <v>464</v>
      </c>
      <c r="G98" s="659">
        <v>0</v>
      </c>
      <c r="H98" s="659">
        <v>300000000</v>
      </c>
      <c r="I98" s="331">
        <f t="shared" si="2"/>
        <v>300000000</v>
      </c>
      <c r="J98" s="1394"/>
      <c r="K98" s="1756"/>
    </row>
    <row r="99" spans="2:11" ht="20.25" customHeight="1" x14ac:dyDescent="0.25">
      <c r="B99" s="1742"/>
      <c r="C99" s="771" t="s">
        <v>439</v>
      </c>
      <c r="D99" s="1563"/>
      <c r="E99" s="1564"/>
      <c r="F99" s="74" t="s">
        <v>464</v>
      </c>
      <c r="G99" s="659">
        <v>6000000000</v>
      </c>
      <c r="H99" s="659">
        <v>6500000000</v>
      </c>
      <c r="I99" s="331">
        <f t="shared" si="2"/>
        <v>500000000</v>
      </c>
      <c r="J99" s="1394"/>
      <c r="K99" s="1756"/>
    </row>
    <row r="100" spans="2:11" ht="20.25" customHeight="1" x14ac:dyDescent="0.25">
      <c r="B100" s="1742"/>
      <c r="C100" s="771" t="s">
        <v>440</v>
      </c>
      <c r="D100" s="1563"/>
      <c r="E100" s="1564"/>
      <c r="F100" s="74" t="s">
        <v>464</v>
      </c>
      <c r="G100" s="659">
        <v>1000000000</v>
      </c>
      <c r="H100" s="659">
        <v>500000000</v>
      </c>
      <c r="I100" s="331">
        <f t="shared" si="2"/>
        <v>-500000000</v>
      </c>
      <c r="J100" s="1394"/>
      <c r="K100" s="1756"/>
    </row>
    <row r="101" spans="2:11" ht="20.25" customHeight="1" x14ac:dyDescent="0.25">
      <c r="B101" s="1742"/>
      <c r="C101" s="771" t="s">
        <v>441</v>
      </c>
      <c r="D101" s="1618"/>
      <c r="E101" s="1620"/>
      <c r="F101" s="855" t="s">
        <v>271</v>
      </c>
      <c r="G101" s="660">
        <v>1045000000</v>
      </c>
      <c r="H101" s="660">
        <v>1545000000</v>
      </c>
      <c r="I101" s="60">
        <f t="shared" si="2"/>
        <v>500000000</v>
      </c>
      <c r="J101" s="1398"/>
      <c r="K101" s="1756"/>
    </row>
    <row r="102" spans="2:11" ht="20.25" customHeight="1" x14ac:dyDescent="0.25">
      <c r="B102" s="1742"/>
      <c r="C102" s="39" t="s">
        <v>442</v>
      </c>
      <c r="D102" s="1563"/>
      <c r="E102" s="1564"/>
      <c r="F102" s="767" t="s">
        <v>309</v>
      </c>
      <c r="G102" s="617">
        <v>1600000000</v>
      </c>
      <c r="H102" s="617">
        <v>800000000</v>
      </c>
      <c r="I102" s="71">
        <f t="shared" si="2"/>
        <v>-800000000</v>
      </c>
      <c r="J102" s="1399"/>
      <c r="K102" s="1756"/>
    </row>
    <row r="103" spans="2:11" ht="20.25" customHeight="1" x14ac:dyDescent="0.25">
      <c r="B103" s="1742"/>
      <c r="C103" s="771" t="s">
        <v>443</v>
      </c>
      <c r="D103" s="1563"/>
      <c r="E103" s="1564"/>
      <c r="F103" s="767" t="s">
        <v>309</v>
      </c>
      <c r="G103" s="617">
        <v>2126082971</v>
      </c>
      <c r="H103" s="617">
        <v>600000000</v>
      </c>
      <c r="I103" s="71">
        <f t="shared" si="2"/>
        <v>-1526082971</v>
      </c>
      <c r="J103" s="1399"/>
      <c r="K103" s="1756"/>
    </row>
    <row r="104" spans="2:11" ht="20.25" customHeight="1" x14ac:dyDescent="0.25">
      <c r="B104" s="1742"/>
      <c r="C104" s="771" t="s">
        <v>444</v>
      </c>
      <c r="D104" s="1712"/>
      <c r="E104" s="1713"/>
      <c r="F104" s="772" t="s">
        <v>318</v>
      </c>
      <c r="G104" s="774">
        <v>100000000</v>
      </c>
      <c r="H104" s="774">
        <v>300000000</v>
      </c>
      <c r="I104" s="775">
        <f t="shared" si="2"/>
        <v>200000000</v>
      </c>
      <c r="J104" s="1400"/>
      <c r="K104" s="1756"/>
    </row>
    <row r="105" spans="2:11" ht="20.25" customHeight="1" x14ac:dyDescent="0.25">
      <c r="B105" s="1742"/>
      <c r="C105" s="771" t="s">
        <v>445</v>
      </c>
      <c r="D105" s="1582"/>
      <c r="E105" s="1583"/>
      <c r="F105" s="772" t="s">
        <v>321</v>
      </c>
      <c r="G105" s="774">
        <v>200000000</v>
      </c>
      <c r="H105" s="774">
        <v>600000000</v>
      </c>
      <c r="I105" s="775">
        <f t="shared" si="2"/>
        <v>400000000</v>
      </c>
      <c r="J105" s="1401"/>
      <c r="K105" s="1756"/>
    </row>
    <row r="106" spans="2:11" ht="28.5" customHeight="1" x14ac:dyDescent="0.25">
      <c r="B106" s="1742"/>
      <c r="C106" s="771" t="s">
        <v>446</v>
      </c>
      <c r="D106" s="1712"/>
      <c r="E106" s="1713"/>
      <c r="F106" s="772" t="s">
        <v>323</v>
      </c>
      <c r="G106" s="774">
        <v>100000000</v>
      </c>
      <c r="H106" s="774">
        <v>250000000</v>
      </c>
      <c r="I106" s="775">
        <f t="shared" si="2"/>
        <v>150000000</v>
      </c>
      <c r="J106" s="1402"/>
      <c r="K106" s="1756"/>
    </row>
    <row r="107" spans="2:11" ht="20.25" customHeight="1" x14ac:dyDescent="0.25">
      <c r="B107" s="1742"/>
      <c r="C107" s="39" t="s">
        <v>447</v>
      </c>
      <c r="D107" s="1582"/>
      <c r="E107" s="1583"/>
      <c r="F107" s="856" t="s">
        <v>336</v>
      </c>
      <c r="G107" s="663">
        <v>2000000000</v>
      </c>
      <c r="H107" s="663">
        <v>2776082971</v>
      </c>
      <c r="I107" s="372">
        <f t="shared" si="2"/>
        <v>776082971</v>
      </c>
      <c r="J107" s="1403"/>
      <c r="K107" s="1756"/>
    </row>
    <row r="108" spans="2:11" ht="2.25" customHeight="1" thickBot="1" x14ac:dyDescent="0.3">
      <c r="B108" s="1742"/>
      <c r="C108" s="420"/>
      <c r="D108" s="422"/>
      <c r="E108" s="423"/>
      <c r="F108" s="424"/>
      <c r="G108" s="672"/>
      <c r="H108" s="672"/>
      <c r="I108" s="426"/>
      <c r="J108" s="1405"/>
      <c r="K108" s="1756"/>
    </row>
    <row r="109" spans="2:11" ht="13.5" thickTop="1" x14ac:dyDescent="0.25">
      <c r="B109" s="1742"/>
      <c r="K109" s="1756"/>
    </row>
  </sheetData>
  <mergeCells count="97">
    <mergeCell ref="C2:I2"/>
    <mergeCell ref="C3:K3"/>
    <mergeCell ref="C4:K4"/>
    <mergeCell ref="D6:E6"/>
    <mergeCell ref="B7:B31"/>
    <mergeCell ref="K7:K31"/>
    <mergeCell ref="C8:C9"/>
    <mergeCell ref="D8:E9"/>
    <mergeCell ref="F8:F9"/>
    <mergeCell ref="G8:G9"/>
    <mergeCell ref="D18:E18"/>
    <mergeCell ref="H8:H9"/>
    <mergeCell ref="I8:I9"/>
    <mergeCell ref="J8:J9"/>
    <mergeCell ref="C10:E10"/>
    <mergeCell ref="D11:E11"/>
    <mergeCell ref="D12:E12"/>
    <mergeCell ref="D13:E13"/>
    <mergeCell ref="D14:E14"/>
    <mergeCell ref="D15:E15"/>
    <mergeCell ref="D16:E16"/>
    <mergeCell ref="D17:E17"/>
    <mergeCell ref="B42:K42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B43:K43"/>
    <mergeCell ref="D45:E45"/>
    <mergeCell ref="B46:B70"/>
    <mergeCell ref="K46:K70"/>
    <mergeCell ref="C47:C48"/>
    <mergeCell ref="D47:E48"/>
    <mergeCell ref="F47:F48"/>
    <mergeCell ref="G47:G48"/>
    <mergeCell ref="H47:H48"/>
    <mergeCell ref="I47:I48"/>
    <mergeCell ref="D59:E59"/>
    <mergeCell ref="J47:J48"/>
    <mergeCell ref="C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84:E84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B81:K81"/>
    <mergeCell ref="B82:K82"/>
    <mergeCell ref="B85:B109"/>
    <mergeCell ref="K85:K109"/>
    <mergeCell ref="C86:C87"/>
    <mergeCell ref="D86:E87"/>
    <mergeCell ref="F86:F87"/>
    <mergeCell ref="G86:G87"/>
    <mergeCell ref="H86:H87"/>
    <mergeCell ref="I86:I87"/>
    <mergeCell ref="J86:J87"/>
    <mergeCell ref="C88:E88"/>
    <mergeCell ref="D100:E100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7:E107"/>
    <mergeCell ref="D101:E101"/>
    <mergeCell ref="D102:E102"/>
    <mergeCell ref="D103:E103"/>
    <mergeCell ref="D104:E104"/>
    <mergeCell ref="D105:E105"/>
    <mergeCell ref="D106:E106"/>
  </mergeCells>
  <printOptions horizontalCentered="1"/>
  <pageMargins left="0.43307086614173229" right="0.43307086614173229" top="0.59055118110236227" bottom="0.39370078740157483" header="0" footer="0"/>
  <pageSetup paperSize="200" scale="71" orientation="landscape" useFirstPageNumber="1" r:id="rId1"/>
  <headerFooter>
    <oddFooter>&amp;L&amp;"Cambria,Italic"&amp;7&amp;K05-049&amp;F / &amp;A&amp;C&amp;"Cambria,Italic"&amp;7&amp;K04-021Hal &amp;P dari &amp;N&amp;R&amp;"-,Italic"&amp;7&amp;K09-022&amp;D /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2:O29"/>
  <sheetViews>
    <sheetView zoomScale="85" zoomScaleNormal="85" zoomScaleSheetLayoutView="115" workbookViewId="0">
      <selection activeCell="H12" sqref="H12"/>
    </sheetView>
  </sheetViews>
  <sheetFormatPr defaultRowHeight="12.75" x14ac:dyDescent="0.25"/>
  <cols>
    <col min="1" max="1" width="9" style="53" customWidth="1"/>
    <col min="2" max="2" width="0.5703125" style="13" customWidth="1"/>
    <col min="3" max="3" width="3.28515625" style="427" customWidth="1"/>
    <col min="4" max="4" width="4.140625" style="428" customWidth="1"/>
    <col min="5" max="5" width="3.5703125" style="428" customWidth="1"/>
    <col min="6" max="6" width="2.7109375" style="428" customWidth="1"/>
    <col min="7" max="7" width="56.7109375" style="429" customWidth="1"/>
    <col min="8" max="9" width="18.42578125" style="432" customWidth="1"/>
    <col min="10" max="10" width="0.42578125" style="291" customWidth="1"/>
    <col min="11" max="11" width="17.5703125" style="431" customWidth="1"/>
    <col min="12" max="12" width="4.85546875" style="500" customWidth="1"/>
    <col min="13" max="15" width="14.140625" style="53" customWidth="1"/>
    <col min="16" max="24" width="10.5703125" style="53" customWidth="1"/>
    <col min="25" max="230" width="9.140625" style="53"/>
    <col min="231" max="231" width="1.7109375" style="53" customWidth="1"/>
    <col min="232" max="233" width="4.7109375" style="53" customWidth="1"/>
    <col min="234" max="234" width="54.140625" style="53" customWidth="1"/>
    <col min="235" max="235" width="52" style="53" customWidth="1"/>
    <col min="236" max="236" width="5.28515625" style="53" customWidth="1"/>
    <col min="237" max="237" width="5.85546875" style="53" bestFit="1" customWidth="1"/>
    <col min="238" max="238" width="16.42578125" style="53" customWidth="1"/>
    <col min="239" max="239" width="4.5703125" style="53" customWidth="1"/>
    <col min="240" max="240" width="14.140625" style="53" customWidth="1"/>
    <col min="241" max="241" width="27.140625" style="53" customWidth="1"/>
    <col min="242" max="242" width="16.28515625" style="53" customWidth="1"/>
    <col min="243" max="243" width="13.85546875" style="53" customWidth="1"/>
    <col min="244" max="486" width="9.140625" style="53"/>
    <col min="487" max="487" width="1.7109375" style="53" customWidth="1"/>
    <col min="488" max="489" width="4.7109375" style="53" customWidth="1"/>
    <col min="490" max="490" width="54.140625" style="53" customWidth="1"/>
    <col min="491" max="491" width="52" style="53" customWidth="1"/>
    <col min="492" max="492" width="5.28515625" style="53" customWidth="1"/>
    <col min="493" max="493" width="5.85546875" style="53" bestFit="1" customWidth="1"/>
    <col min="494" max="494" width="16.42578125" style="53" customWidth="1"/>
    <col min="495" max="495" width="4.5703125" style="53" customWidth="1"/>
    <col min="496" max="496" width="14.140625" style="53" customWidth="1"/>
    <col min="497" max="497" width="27.140625" style="53" customWidth="1"/>
    <col min="498" max="498" width="16.28515625" style="53" customWidth="1"/>
    <col min="499" max="499" width="13.85546875" style="53" customWidth="1"/>
    <col min="500" max="742" width="9.140625" style="53"/>
    <col min="743" max="743" width="1.7109375" style="53" customWidth="1"/>
    <col min="744" max="745" width="4.7109375" style="53" customWidth="1"/>
    <col min="746" max="746" width="54.140625" style="53" customWidth="1"/>
    <col min="747" max="747" width="52" style="53" customWidth="1"/>
    <col min="748" max="748" width="5.28515625" style="53" customWidth="1"/>
    <col min="749" max="749" width="5.85546875" style="53" bestFit="1" customWidth="1"/>
    <col min="750" max="750" width="16.42578125" style="53" customWidth="1"/>
    <col min="751" max="751" width="4.5703125" style="53" customWidth="1"/>
    <col min="752" max="752" width="14.140625" style="53" customWidth="1"/>
    <col min="753" max="753" width="27.140625" style="53" customWidth="1"/>
    <col min="754" max="754" width="16.28515625" style="53" customWidth="1"/>
    <col min="755" max="755" width="13.85546875" style="53" customWidth="1"/>
    <col min="756" max="998" width="9.140625" style="53"/>
    <col min="999" max="999" width="1.7109375" style="53" customWidth="1"/>
    <col min="1000" max="1001" width="4.7109375" style="53" customWidth="1"/>
    <col min="1002" max="1002" width="54.140625" style="53" customWidth="1"/>
    <col min="1003" max="1003" width="52" style="53" customWidth="1"/>
    <col min="1004" max="1004" width="5.28515625" style="53" customWidth="1"/>
    <col min="1005" max="1005" width="5.85546875" style="53" bestFit="1" customWidth="1"/>
    <col min="1006" max="1006" width="16.42578125" style="53" customWidth="1"/>
    <col min="1007" max="1007" width="4.5703125" style="53" customWidth="1"/>
    <col min="1008" max="1008" width="14.140625" style="53" customWidth="1"/>
    <col min="1009" max="1009" width="27.140625" style="53" customWidth="1"/>
    <col min="1010" max="1010" width="16.28515625" style="53" customWidth="1"/>
    <col min="1011" max="1011" width="13.85546875" style="53" customWidth="1"/>
    <col min="1012" max="1254" width="9.140625" style="53"/>
    <col min="1255" max="1255" width="1.7109375" style="53" customWidth="1"/>
    <col min="1256" max="1257" width="4.7109375" style="53" customWidth="1"/>
    <col min="1258" max="1258" width="54.140625" style="53" customWidth="1"/>
    <col min="1259" max="1259" width="52" style="53" customWidth="1"/>
    <col min="1260" max="1260" width="5.28515625" style="53" customWidth="1"/>
    <col min="1261" max="1261" width="5.85546875" style="53" bestFit="1" customWidth="1"/>
    <col min="1262" max="1262" width="16.42578125" style="53" customWidth="1"/>
    <col min="1263" max="1263" width="4.5703125" style="53" customWidth="1"/>
    <col min="1264" max="1264" width="14.140625" style="53" customWidth="1"/>
    <col min="1265" max="1265" width="27.140625" style="53" customWidth="1"/>
    <col min="1266" max="1266" width="16.28515625" style="53" customWidth="1"/>
    <col min="1267" max="1267" width="13.85546875" style="53" customWidth="1"/>
    <col min="1268" max="1510" width="9.140625" style="53"/>
    <col min="1511" max="1511" width="1.7109375" style="53" customWidth="1"/>
    <col min="1512" max="1513" width="4.7109375" style="53" customWidth="1"/>
    <col min="1514" max="1514" width="54.140625" style="53" customWidth="1"/>
    <col min="1515" max="1515" width="52" style="53" customWidth="1"/>
    <col min="1516" max="1516" width="5.28515625" style="53" customWidth="1"/>
    <col min="1517" max="1517" width="5.85546875" style="53" bestFit="1" customWidth="1"/>
    <col min="1518" max="1518" width="16.42578125" style="53" customWidth="1"/>
    <col min="1519" max="1519" width="4.5703125" style="53" customWidth="1"/>
    <col min="1520" max="1520" width="14.140625" style="53" customWidth="1"/>
    <col min="1521" max="1521" width="27.140625" style="53" customWidth="1"/>
    <col min="1522" max="1522" width="16.28515625" style="53" customWidth="1"/>
    <col min="1523" max="1523" width="13.85546875" style="53" customWidth="1"/>
    <col min="1524" max="1766" width="9.140625" style="53"/>
    <col min="1767" max="1767" width="1.7109375" style="53" customWidth="1"/>
    <col min="1768" max="1769" width="4.7109375" style="53" customWidth="1"/>
    <col min="1770" max="1770" width="54.140625" style="53" customWidth="1"/>
    <col min="1771" max="1771" width="52" style="53" customWidth="1"/>
    <col min="1772" max="1772" width="5.28515625" style="53" customWidth="1"/>
    <col min="1773" max="1773" width="5.85546875" style="53" bestFit="1" customWidth="1"/>
    <col min="1774" max="1774" width="16.42578125" style="53" customWidth="1"/>
    <col min="1775" max="1775" width="4.5703125" style="53" customWidth="1"/>
    <col min="1776" max="1776" width="14.140625" style="53" customWidth="1"/>
    <col min="1777" max="1777" width="27.140625" style="53" customWidth="1"/>
    <col min="1778" max="1778" width="16.28515625" style="53" customWidth="1"/>
    <col min="1779" max="1779" width="13.85546875" style="53" customWidth="1"/>
    <col min="1780" max="2022" width="9.140625" style="53"/>
    <col min="2023" max="2023" width="1.7109375" style="53" customWidth="1"/>
    <col min="2024" max="2025" width="4.7109375" style="53" customWidth="1"/>
    <col min="2026" max="2026" width="54.140625" style="53" customWidth="1"/>
    <col min="2027" max="2027" width="52" style="53" customWidth="1"/>
    <col min="2028" max="2028" width="5.28515625" style="53" customWidth="1"/>
    <col min="2029" max="2029" width="5.85546875" style="53" bestFit="1" customWidth="1"/>
    <col min="2030" max="2030" width="16.42578125" style="53" customWidth="1"/>
    <col min="2031" max="2031" width="4.5703125" style="53" customWidth="1"/>
    <col min="2032" max="2032" width="14.140625" style="53" customWidth="1"/>
    <col min="2033" max="2033" width="27.140625" style="53" customWidth="1"/>
    <col min="2034" max="2034" width="16.28515625" style="53" customWidth="1"/>
    <col min="2035" max="2035" width="13.85546875" style="53" customWidth="1"/>
    <col min="2036" max="2278" width="9.140625" style="53"/>
    <col min="2279" max="2279" width="1.7109375" style="53" customWidth="1"/>
    <col min="2280" max="2281" width="4.7109375" style="53" customWidth="1"/>
    <col min="2282" max="2282" width="54.140625" style="53" customWidth="1"/>
    <col min="2283" max="2283" width="52" style="53" customWidth="1"/>
    <col min="2284" max="2284" width="5.28515625" style="53" customWidth="1"/>
    <col min="2285" max="2285" width="5.85546875" style="53" bestFit="1" customWidth="1"/>
    <col min="2286" max="2286" width="16.42578125" style="53" customWidth="1"/>
    <col min="2287" max="2287" width="4.5703125" style="53" customWidth="1"/>
    <col min="2288" max="2288" width="14.140625" style="53" customWidth="1"/>
    <col min="2289" max="2289" width="27.140625" style="53" customWidth="1"/>
    <col min="2290" max="2290" width="16.28515625" style="53" customWidth="1"/>
    <col min="2291" max="2291" width="13.85546875" style="53" customWidth="1"/>
    <col min="2292" max="2534" width="9.140625" style="53"/>
    <col min="2535" max="2535" width="1.7109375" style="53" customWidth="1"/>
    <col min="2536" max="2537" width="4.7109375" style="53" customWidth="1"/>
    <col min="2538" max="2538" width="54.140625" style="53" customWidth="1"/>
    <col min="2539" max="2539" width="52" style="53" customWidth="1"/>
    <col min="2540" max="2540" width="5.28515625" style="53" customWidth="1"/>
    <col min="2541" max="2541" width="5.85546875" style="53" bestFit="1" customWidth="1"/>
    <col min="2542" max="2542" width="16.42578125" style="53" customWidth="1"/>
    <col min="2543" max="2543" width="4.5703125" style="53" customWidth="1"/>
    <col min="2544" max="2544" width="14.140625" style="53" customWidth="1"/>
    <col min="2545" max="2545" width="27.140625" style="53" customWidth="1"/>
    <col min="2546" max="2546" width="16.28515625" style="53" customWidth="1"/>
    <col min="2547" max="2547" width="13.85546875" style="53" customWidth="1"/>
    <col min="2548" max="2790" width="9.140625" style="53"/>
    <col min="2791" max="2791" width="1.7109375" style="53" customWidth="1"/>
    <col min="2792" max="2793" width="4.7109375" style="53" customWidth="1"/>
    <col min="2794" max="2794" width="54.140625" style="53" customWidth="1"/>
    <col min="2795" max="2795" width="52" style="53" customWidth="1"/>
    <col min="2796" max="2796" width="5.28515625" style="53" customWidth="1"/>
    <col min="2797" max="2797" width="5.85546875" style="53" bestFit="1" customWidth="1"/>
    <col min="2798" max="2798" width="16.42578125" style="53" customWidth="1"/>
    <col min="2799" max="2799" width="4.5703125" style="53" customWidth="1"/>
    <col min="2800" max="2800" width="14.140625" style="53" customWidth="1"/>
    <col min="2801" max="2801" width="27.140625" style="53" customWidth="1"/>
    <col min="2802" max="2802" width="16.28515625" style="53" customWidth="1"/>
    <col min="2803" max="2803" width="13.85546875" style="53" customWidth="1"/>
    <col min="2804" max="3046" width="9.140625" style="53"/>
    <col min="3047" max="3047" width="1.7109375" style="53" customWidth="1"/>
    <col min="3048" max="3049" width="4.7109375" style="53" customWidth="1"/>
    <col min="3050" max="3050" width="54.140625" style="53" customWidth="1"/>
    <col min="3051" max="3051" width="52" style="53" customWidth="1"/>
    <col min="3052" max="3052" width="5.28515625" style="53" customWidth="1"/>
    <col min="3053" max="3053" width="5.85546875" style="53" bestFit="1" customWidth="1"/>
    <col min="3054" max="3054" width="16.42578125" style="53" customWidth="1"/>
    <col min="3055" max="3055" width="4.5703125" style="53" customWidth="1"/>
    <col min="3056" max="3056" width="14.140625" style="53" customWidth="1"/>
    <col min="3057" max="3057" width="27.140625" style="53" customWidth="1"/>
    <col min="3058" max="3058" width="16.28515625" style="53" customWidth="1"/>
    <col min="3059" max="3059" width="13.85546875" style="53" customWidth="1"/>
    <col min="3060" max="3302" width="9.140625" style="53"/>
    <col min="3303" max="3303" width="1.7109375" style="53" customWidth="1"/>
    <col min="3304" max="3305" width="4.7109375" style="53" customWidth="1"/>
    <col min="3306" max="3306" width="54.140625" style="53" customWidth="1"/>
    <col min="3307" max="3307" width="52" style="53" customWidth="1"/>
    <col min="3308" max="3308" width="5.28515625" style="53" customWidth="1"/>
    <col min="3309" max="3309" width="5.85546875" style="53" bestFit="1" customWidth="1"/>
    <col min="3310" max="3310" width="16.42578125" style="53" customWidth="1"/>
    <col min="3311" max="3311" width="4.5703125" style="53" customWidth="1"/>
    <col min="3312" max="3312" width="14.140625" style="53" customWidth="1"/>
    <col min="3313" max="3313" width="27.140625" style="53" customWidth="1"/>
    <col min="3314" max="3314" width="16.28515625" style="53" customWidth="1"/>
    <col min="3315" max="3315" width="13.85546875" style="53" customWidth="1"/>
    <col min="3316" max="3558" width="9.140625" style="53"/>
    <col min="3559" max="3559" width="1.7109375" style="53" customWidth="1"/>
    <col min="3560" max="3561" width="4.7109375" style="53" customWidth="1"/>
    <col min="3562" max="3562" width="54.140625" style="53" customWidth="1"/>
    <col min="3563" max="3563" width="52" style="53" customWidth="1"/>
    <col min="3564" max="3564" width="5.28515625" style="53" customWidth="1"/>
    <col min="3565" max="3565" width="5.85546875" style="53" bestFit="1" customWidth="1"/>
    <col min="3566" max="3566" width="16.42578125" style="53" customWidth="1"/>
    <col min="3567" max="3567" width="4.5703125" style="53" customWidth="1"/>
    <col min="3568" max="3568" width="14.140625" style="53" customWidth="1"/>
    <col min="3569" max="3569" width="27.140625" style="53" customWidth="1"/>
    <col min="3570" max="3570" width="16.28515625" style="53" customWidth="1"/>
    <col min="3571" max="3571" width="13.85546875" style="53" customWidth="1"/>
    <col min="3572" max="3814" width="9.140625" style="53"/>
    <col min="3815" max="3815" width="1.7109375" style="53" customWidth="1"/>
    <col min="3816" max="3817" width="4.7109375" style="53" customWidth="1"/>
    <col min="3818" max="3818" width="54.140625" style="53" customWidth="1"/>
    <col min="3819" max="3819" width="52" style="53" customWidth="1"/>
    <col min="3820" max="3820" width="5.28515625" style="53" customWidth="1"/>
    <col min="3821" max="3821" width="5.85546875" style="53" bestFit="1" customWidth="1"/>
    <col min="3822" max="3822" width="16.42578125" style="53" customWidth="1"/>
    <col min="3823" max="3823" width="4.5703125" style="53" customWidth="1"/>
    <col min="3824" max="3824" width="14.140625" style="53" customWidth="1"/>
    <col min="3825" max="3825" width="27.140625" style="53" customWidth="1"/>
    <col min="3826" max="3826" width="16.28515625" style="53" customWidth="1"/>
    <col min="3827" max="3827" width="13.85546875" style="53" customWidth="1"/>
    <col min="3828" max="4070" width="9.140625" style="53"/>
    <col min="4071" max="4071" width="1.7109375" style="53" customWidth="1"/>
    <col min="4072" max="4073" width="4.7109375" style="53" customWidth="1"/>
    <col min="4074" max="4074" width="54.140625" style="53" customWidth="1"/>
    <col min="4075" max="4075" width="52" style="53" customWidth="1"/>
    <col min="4076" max="4076" width="5.28515625" style="53" customWidth="1"/>
    <col min="4077" max="4077" width="5.85546875" style="53" bestFit="1" customWidth="1"/>
    <col min="4078" max="4078" width="16.42578125" style="53" customWidth="1"/>
    <col min="4079" max="4079" width="4.5703125" style="53" customWidth="1"/>
    <col min="4080" max="4080" width="14.140625" style="53" customWidth="1"/>
    <col min="4081" max="4081" width="27.140625" style="53" customWidth="1"/>
    <col min="4082" max="4082" width="16.28515625" style="53" customWidth="1"/>
    <col min="4083" max="4083" width="13.85546875" style="53" customWidth="1"/>
    <col min="4084" max="4326" width="9.140625" style="53"/>
    <col min="4327" max="4327" width="1.7109375" style="53" customWidth="1"/>
    <col min="4328" max="4329" width="4.7109375" style="53" customWidth="1"/>
    <col min="4330" max="4330" width="54.140625" style="53" customWidth="1"/>
    <col min="4331" max="4331" width="52" style="53" customWidth="1"/>
    <col min="4332" max="4332" width="5.28515625" style="53" customWidth="1"/>
    <col min="4333" max="4333" width="5.85546875" style="53" bestFit="1" customWidth="1"/>
    <col min="4334" max="4334" width="16.42578125" style="53" customWidth="1"/>
    <col min="4335" max="4335" width="4.5703125" style="53" customWidth="1"/>
    <col min="4336" max="4336" width="14.140625" style="53" customWidth="1"/>
    <col min="4337" max="4337" width="27.140625" style="53" customWidth="1"/>
    <col min="4338" max="4338" width="16.28515625" style="53" customWidth="1"/>
    <col min="4339" max="4339" width="13.85546875" style="53" customWidth="1"/>
    <col min="4340" max="4582" width="9.140625" style="53"/>
    <col min="4583" max="4583" width="1.7109375" style="53" customWidth="1"/>
    <col min="4584" max="4585" width="4.7109375" style="53" customWidth="1"/>
    <col min="4586" max="4586" width="54.140625" style="53" customWidth="1"/>
    <col min="4587" max="4587" width="52" style="53" customWidth="1"/>
    <col min="4588" max="4588" width="5.28515625" style="53" customWidth="1"/>
    <col min="4589" max="4589" width="5.85546875" style="53" bestFit="1" customWidth="1"/>
    <col min="4590" max="4590" width="16.42578125" style="53" customWidth="1"/>
    <col min="4591" max="4591" width="4.5703125" style="53" customWidth="1"/>
    <col min="4592" max="4592" width="14.140625" style="53" customWidth="1"/>
    <col min="4593" max="4593" width="27.140625" style="53" customWidth="1"/>
    <col min="4594" max="4594" width="16.28515625" style="53" customWidth="1"/>
    <col min="4595" max="4595" width="13.85546875" style="53" customWidth="1"/>
    <col min="4596" max="4838" width="9.140625" style="53"/>
    <col min="4839" max="4839" width="1.7109375" style="53" customWidth="1"/>
    <col min="4840" max="4841" width="4.7109375" style="53" customWidth="1"/>
    <col min="4842" max="4842" width="54.140625" style="53" customWidth="1"/>
    <col min="4843" max="4843" width="52" style="53" customWidth="1"/>
    <col min="4844" max="4844" width="5.28515625" style="53" customWidth="1"/>
    <col min="4845" max="4845" width="5.85546875" style="53" bestFit="1" customWidth="1"/>
    <col min="4846" max="4846" width="16.42578125" style="53" customWidth="1"/>
    <col min="4847" max="4847" width="4.5703125" style="53" customWidth="1"/>
    <col min="4848" max="4848" width="14.140625" style="53" customWidth="1"/>
    <col min="4849" max="4849" width="27.140625" style="53" customWidth="1"/>
    <col min="4850" max="4850" width="16.28515625" style="53" customWidth="1"/>
    <col min="4851" max="4851" width="13.85546875" style="53" customWidth="1"/>
    <col min="4852" max="5094" width="9.140625" style="53"/>
    <col min="5095" max="5095" width="1.7109375" style="53" customWidth="1"/>
    <col min="5096" max="5097" width="4.7109375" style="53" customWidth="1"/>
    <col min="5098" max="5098" width="54.140625" style="53" customWidth="1"/>
    <col min="5099" max="5099" width="52" style="53" customWidth="1"/>
    <col min="5100" max="5100" width="5.28515625" style="53" customWidth="1"/>
    <col min="5101" max="5101" width="5.85546875" style="53" bestFit="1" customWidth="1"/>
    <col min="5102" max="5102" width="16.42578125" style="53" customWidth="1"/>
    <col min="5103" max="5103" width="4.5703125" style="53" customWidth="1"/>
    <col min="5104" max="5104" width="14.140625" style="53" customWidth="1"/>
    <col min="5105" max="5105" width="27.140625" style="53" customWidth="1"/>
    <col min="5106" max="5106" width="16.28515625" style="53" customWidth="1"/>
    <col min="5107" max="5107" width="13.85546875" style="53" customWidth="1"/>
    <col min="5108" max="5350" width="9.140625" style="53"/>
    <col min="5351" max="5351" width="1.7109375" style="53" customWidth="1"/>
    <col min="5352" max="5353" width="4.7109375" style="53" customWidth="1"/>
    <col min="5354" max="5354" width="54.140625" style="53" customWidth="1"/>
    <col min="5355" max="5355" width="52" style="53" customWidth="1"/>
    <col min="5356" max="5356" width="5.28515625" style="53" customWidth="1"/>
    <col min="5357" max="5357" width="5.85546875" style="53" bestFit="1" customWidth="1"/>
    <col min="5358" max="5358" width="16.42578125" style="53" customWidth="1"/>
    <col min="5359" max="5359" width="4.5703125" style="53" customWidth="1"/>
    <col min="5360" max="5360" width="14.140625" style="53" customWidth="1"/>
    <col min="5361" max="5361" width="27.140625" style="53" customWidth="1"/>
    <col min="5362" max="5362" width="16.28515625" style="53" customWidth="1"/>
    <col min="5363" max="5363" width="13.85546875" style="53" customWidth="1"/>
    <col min="5364" max="5606" width="9.140625" style="53"/>
    <col min="5607" max="5607" width="1.7109375" style="53" customWidth="1"/>
    <col min="5608" max="5609" width="4.7109375" style="53" customWidth="1"/>
    <col min="5610" max="5610" width="54.140625" style="53" customWidth="1"/>
    <col min="5611" max="5611" width="52" style="53" customWidth="1"/>
    <col min="5612" max="5612" width="5.28515625" style="53" customWidth="1"/>
    <col min="5613" max="5613" width="5.85546875" style="53" bestFit="1" customWidth="1"/>
    <col min="5614" max="5614" width="16.42578125" style="53" customWidth="1"/>
    <col min="5615" max="5615" width="4.5703125" style="53" customWidth="1"/>
    <col min="5616" max="5616" width="14.140625" style="53" customWidth="1"/>
    <col min="5617" max="5617" width="27.140625" style="53" customWidth="1"/>
    <col min="5618" max="5618" width="16.28515625" style="53" customWidth="1"/>
    <col min="5619" max="5619" width="13.85546875" style="53" customWidth="1"/>
    <col min="5620" max="5862" width="9.140625" style="53"/>
    <col min="5863" max="5863" width="1.7109375" style="53" customWidth="1"/>
    <col min="5864" max="5865" width="4.7109375" style="53" customWidth="1"/>
    <col min="5866" max="5866" width="54.140625" style="53" customWidth="1"/>
    <col min="5867" max="5867" width="52" style="53" customWidth="1"/>
    <col min="5868" max="5868" width="5.28515625" style="53" customWidth="1"/>
    <col min="5869" max="5869" width="5.85546875" style="53" bestFit="1" customWidth="1"/>
    <col min="5870" max="5870" width="16.42578125" style="53" customWidth="1"/>
    <col min="5871" max="5871" width="4.5703125" style="53" customWidth="1"/>
    <col min="5872" max="5872" width="14.140625" style="53" customWidth="1"/>
    <col min="5873" max="5873" width="27.140625" style="53" customWidth="1"/>
    <col min="5874" max="5874" width="16.28515625" style="53" customWidth="1"/>
    <col min="5875" max="5875" width="13.85546875" style="53" customWidth="1"/>
    <col min="5876" max="6118" width="9.140625" style="53"/>
    <col min="6119" max="6119" width="1.7109375" style="53" customWidth="1"/>
    <col min="6120" max="6121" width="4.7109375" style="53" customWidth="1"/>
    <col min="6122" max="6122" width="54.140625" style="53" customWidth="1"/>
    <col min="6123" max="6123" width="52" style="53" customWidth="1"/>
    <col min="6124" max="6124" width="5.28515625" style="53" customWidth="1"/>
    <col min="6125" max="6125" width="5.85546875" style="53" bestFit="1" customWidth="1"/>
    <col min="6126" max="6126" width="16.42578125" style="53" customWidth="1"/>
    <col min="6127" max="6127" width="4.5703125" style="53" customWidth="1"/>
    <col min="6128" max="6128" width="14.140625" style="53" customWidth="1"/>
    <col min="6129" max="6129" width="27.140625" style="53" customWidth="1"/>
    <col min="6130" max="6130" width="16.28515625" style="53" customWidth="1"/>
    <col min="6131" max="6131" width="13.85546875" style="53" customWidth="1"/>
    <col min="6132" max="6374" width="9.140625" style="53"/>
    <col min="6375" max="6375" width="1.7109375" style="53" customWidth="1"/>
    <col min="6376" max="6377" width="4.7109375" style="53" customWidth="1"/>
    <col min="6378" max="6378" width="54.140625" style="53" customWidth="1"/>
    <col min="6379" max="6379" width="52" style="53" customWidth="1"/>
    <col min="6380" max="6380" width="5.28515625" style="53" customWidth="1"/>
    <col min="6381" max="6381" width="5.85546875" style="53" bestFit="1" customWidth="1"/>
    <col min="6382" max="6382" width="16.42578125" style="53" customWidth="1"/>
    <col min="6383" max="6383" width="4.5703125" style="53" customWidth="1"/>
    <col min="6384" max="6384" width="14.140625" style="53" customWidth="1"/>
    <col min="6385" max="6385" width="27.140625" style="53" customWidth="1"/>
    <col min="6386" max="6386" width="16.28515625" style="53" customWidth="1"/>
    <col min="6387" max="6387" width="13.85546875" style="53" customWidth="1"/>
    <col min="6388" max="6630" width="9.140625" style="53"/>
    <col min="6631" max="6631" width="1.7109375" style="53" customWidth="1"/>
    <col min="6632" max="6633" width="4.7109375" style="53" customWidth="1"/>
    <col min="6634" max="6634" width="54.140625" style="53" customWidth="1"/>
    <col min="6635" max="6635" width="52" style="53" customWidth="1"/>
    <col min="6636" max="6636" width="5.28515625" style="53" customWidth="1"/>
    <col min="6637" max="6637" width="5.85546875" style="53" bestFit="1" customWidth="1"/>
    <col min="6638" max="6638" width="16.42578125" style="53" customWidth="1"/>
    <col min="6639" max="6639" width="4.5703125" style="53" customWidth="1"/>
    <col min="6640" max="6640" width="14.140625" style="53" customWidth="1"/>
    <col min="6641" max="6641" width="27.140625" style="53" customWidth="1"/>
    <col min="6642" max="6642" width="16.28515625" style="53" customWidth="1"/>
    <col min="6643" max="6643" width="13.85546875" style="53" customWidth="1"/>
    <col min="6644" max="6886" width="9.140625" style="53"/>
    <col min="6887" max="6887" width="1.7109375" style="53" customWidth="1"/>
    <col min="6888" max="6889" width="4.7109375" style="53" customWidth="1"/>
    <col min="6890" max="6890" width="54.140625" style="53" customWidth="1"/>
    <col min="6891" max="6891" width="52" style="53" customWidth="1"/>
    <col min="6892" max="6892" width="5.28515625" style="53" customWidth="1"/>
    <col min="6893" max="6893" width="5.85546875" style="53" bestFit="1" customWidth="1"/>
    <col min="6894" max="6894" width="16.42578125" style="53" customWidth="1"/>
    <col min="6895" max="6895" width="4.5703125" style="53" customWidth="1"/>
    <col min="6896" max="6896" width="14.140625" style="53" customWidth="1"/>
    <col min="6897" max="6897" width="27.140625" style="53" customWidth="1"/>
    <col min="6898" max="6898" width="16.28515625" style="53" customWidth="1"/>
    <col min="6899" max="6899" width="13.85546875" style="53" customWidth="1"/>
    <col min="6900" max="7142" width="9.140625" style="53"/>
    <col min="7143" max="7143" width="1.7109375" style="53" customWidth="1"/>
    <col min="7144" max="7145" width="4.7109375" style="53" customWidth="1"/>
    <col min="7146" max="7146" width="54.140625" style="53" customWidth="1"/>
    <col min="7147" max="7147" width="52" style="53" customWidth="1"/>
    <col min="7148" max="7148" width="5.28515625" style="53" customWidth="1"/>
    <col min="7149" max="7149" width="5.85546875" style="53" bestFit="1" customWidth="1"/>
    <col min="7150" max="7150" width="16.42578125" style="53" customWidth="1"/>
    <col min="7151" max="7151" width="4.5703125" style="53" customWidth="1"/>
    <col min="7152" max="7152" width="14.140625" style="53" customWidth="1"/>
    <col min="7153" max="7153" width="27.140625" style="53" customWidth="1"/>
    <col min="7154" max="7154" width="16.28515625" style="53" customWidth="1"/>
    <col min="7155" max="7155" width="13.85546875" style="53" customWidth="1"/>
    <col min="7156" max="7398" width="9.140625" style="53"/>
    <col min="7399" max="7399" width="1.7109375" style="53" customWidth="1"/>
    <col min="7400" max="7401" width="4.7109375" style="53" customWidth="1"/>
    <col min="7402" max="7402" width="54.140625" style="53" customWidth="1"/>
    <col min="7403" max="7403" width="52" style="53" customWidth="1"/>
    <col min="7404" max="7404" width="5.28515625" style="53" customWidth="1"/>
    <col min="7405" max="7405" width="5.85546875" style="53" bestFit="1" customWidth="1"/>
    <col min="7406" max="7406" width="16.42578125" style="53" customWidth="1"/>
    <col min="7407" max="7407" width="4.5703125" style="53" customWidth="1"/>
    <col min="7408" max="7408" width="14.140625" style="53" customWidth="1"/>
    <col min="7409" max="7409" width="27.140625" style="53" customWidth="1"/>
    <col min="7410" max="7410" width="16.28515625" style="53" customWidth="1"/>
    <col min="7411" max="7411" width="13.85546875" style="53" customWidth="1"/>
    <col min="7412" max="7654" width="9.140625" style="53"/>
    <col min="7655" max="7655" width="1.7109375" style="53" customWidth="1"/>
    <col min="7656" max="7657" width="4.7109375" style="53" customWidth="1"/>
    <col min="7658" max="7658" width="54.140625" style="53" customWidth="1"/>
    <col min="7659" max="7659" width="52" style="53" customWidth="1"/>
    <col min="7660" max="7660" width="5.28515625" style="53" customWidth="1"/>
    <col min="7661" max="7661" width="5.85546875" style="53" bestFit="1" customWidth="1"/>
    <col min="7662" max="7662" width="16.42578125" style="53" customWidth="1"/>
    <col min="7663" max="7663" width="4.5703125" style="53" customWidth="1"/>
    <col min="7664" max="7664" width="14.140625" style="53" customWidth="1"/>
    <col min="7665" max="7665" width="27.140625" style="53" customWidth="1"/>
    <col min="7666" max="7666" width="16.28515625" style="53" customWidth="1"/>
    <col min="7667" max="7667" width="13.85546875" style="53" customWidth="1"/>
    <col min="7668" max="7910" width="9.140625" style="53"/>
    <col min="7911" max="7911" width="1.7109375" style="53" customWidth="1"/>
    <col min="7912" max="7913" width="4.7109375" style="53" customWidth="1"/>
    <col min="7914" max="7914" width="54.140625" style="53" customWidth="1"/>
    <col min="7915" max="7915" width="52" style="53" customWidth="1"/>
    <col min="7916" max="7916" width="5.28515625" style="53" customWidth="1"/>
    <col min="7917" max="7917" width="5.85546875" style="53" bestFit="1" customWidth="1"/>
    <col min="7918" max="7918" width="16.42578125" style="53" customWidth="1"/>
    <col min="7919" max="7919" width="4.5703125" style="53" customWidth="1"/>
    <col min="7920" max="7920" width="14.140625" style="53" customWidth="1"/>
    <col min="7921" max="7921" width="27.140625" style="53" customWidth="1"/>
    <col min="7922" max="7922" width="16.28515625" style="53" customWidth="1"/>
    <col min="7923" max="7923" width="13.85546875" style="53" customWidth="1"/>
    <col min="7924" max="8166" width="9.140625" style="53"/>
    <col min="8167" max="8167" width="1.7109375" style="53" customWidth="1"/>
    <col min="8168" max="8169" width="4.7109375" style="53" customWidth="1"/>
    <col min="8170" max="8170" width="54.140625" style="53" customWidth="1"/>
    <col min="8171" max="8171" width="52" style="53" customWidth="1"/>
    <col min="8172" max="8172" width="5.28515625" style="53" customWidth="1"/>
    <col min="8173" max="8173" width="5.85546875" style="53" bestFit="1" customWidth="1"/>
    <col min="8174" max="8174" width="16.42578125" style="53" customWidth="1"/>
    <col min="8175" max="8175" width="4.5703125" style="53" customWidth="1"/>
    <col min="8176" max="8176" width="14.140625" style="53" customWidth="1"/>
    <col min="8177" max="8177" width="27.140625" style="53" customWidth="1"/>
    <col min="8178" max="8178" width="16.28515625" style="53" customWidth="1"/>
    <col min="8179" max="8179" width="13.85546875" style="53" customWidth="1"/>
    <col min="8180" max="8422" width="9.140625" style="53"/>
    <col min="8423" max="8423" width="1.7109375" style="53" customWidth="1"/>
    <col min="8424" max="8425" width="4.7109375" style="53" customWidth="1"/>
    <col min="8426" max="8426" width="54.140625" style="53" customWidth="1"/>
    <col min="8427" max="8427" width="52" style="53" customWidth="1"/>
    <col min="8428" max="8428" width="5.28515625" style="53" customWidth="1"/>
    <col min="8429" max="8429" width="5.85546875" style="53" bestFit="1" customWidth="1"/>
    <col min="8430" max="8430" width="16.42578125" style="53" customWidth="1"/>
    <col min="8431" max="8431" width="4.5703125" style="53" customWidth="1"/>
    <col min="8432" max="8432" width="14.140625" style="53" customWidth="1"/>
    <col min="8433" max="8433" width="27.140625" style="53" customWidth="1"/>
    <col min="8434" max="8434" width="16.28515625" style="53" customWidth="1"/>
    <col min="8435" max="8435" width="13.85546875" style="53" customWidth="1"/>
    <col min="8436" max="8678" width="9.140625" style="53"/>
    <col min="8679" max="8679" width="1.7109375" style="53" customWidth="1"/>
    <col min="8680" max="8681" width="4.7109375" style="53" customWidth="1"/>
    <col min="8682" max="8682" width="54.140625" style="53" customWidth="1"/>
    <col min="8683" max="8683" width="52" style="53" customWidth="1"/>
    <col min="8684" max="8684" width="5.28515625" style="53" customWidth="1"/>
    <col min="8685" max="8685" width="5.85546875" style="53" bestFit="1" customWidth="1"/>
    <col min="8686" max="8686" width="16.42578125" style="53" customWidth="1"/>
    <col min="8687" max="8687" width="4.5703125" style="53" customWidth="1"/>
    <col min="8688" max="8688" width="14.140625" style="53" customWidth="1"/>
    <col min="8689" max="8689" width="27.140625" style="53" customWidth="1"/>
    <col min="8690" max="8690" width="16.28515625" style="53" customWidth="1"/>
    <col min="8691" max="8691" width="13.85546875" style="53" customWidth="1"/>
    <col min="8692" max="8934" width="9.140625" style="53"/>
    <col min="8935" max="8935" width="1.7109375" style="53" customWidth="1"/>
    <col min="8936" max="8937" width="4.7109375" style="53" customWidth="1"/>
    <col min="8938" max="8938" width="54.140625" style="53" customWidth="1"/>
    <col min="8939" max="8939" width="52" style="53" customWidth="1"/>
    <col min="8940" max="8940" width="5.28515625" style="53" customWidth="1"/>
    <col min="8941" max="8941" width="5.85546875" style="53" bestFit="1" customWidth="1"/>
    <col min="8942" max="8942" width="16.42578125" style="53" customWidth="1"/>
    <col min="8943" max="8943" width="4.5703125" style="53" customWidth="1"/>
    <col min="8944" max="8944" width="14.140625" style="53" customWidth="1"/>
    <col min="8945" max="8945" width="27.140625" style="53" customWidth="1"/>
    <col min="8946" max="8946" width="16.28515625" style="53" customWidth="1"/>
    <col min="8947" max="8947" width="13.85546875" style="53" customWidth="1"/>
    <col min="8948" max="9190" width="9.140625" style="53"/>
    <col min="9191" max="9191" width="1.7109375" style="53" customWidth="1"/>
    <col min="9192" max="9193" width="4.7109375" style="53" customWidth="1"/>
    <col min="9194" max="9194" width="54.140625" style="53" customWidth="1"/>
    <col min="9195" max="9195" width="52" style="53" customWidth="1"/>
    <col min="9196" max="9196" width="5.28515625" style="53" customWidth="1"/>
    <col min="9197" max="9197" width="5.85546875" style="53" bestFit="1" customWidth="1"/>
    <col min="9198" max="9198" width="16.42578125" style="53" customWidth="1"/>
    <col min="9199" max="9199" width="4.5703125" style="53" customWidth="1"/>
    <col min="9200" max="9200" width="14.140625" style="53" customWidth="1"/>
    <col min="9201" max="9201" width="27.140625" style="53" customWidth="1"/>
    <col min="9202" max="9202" width="16.28515625" style="53" customWidth="1"/>
    <col min="9203" max="9203" width="13.85546875" style="53" customWidth="1"/>
    <col min="9204" max="9446" width="9.140625" style="53"/>
    <col min="9447" max="9447" width="1.7109375" style="53" customWidth="1"/>
    <col min="9448" max="9449" width="4.7109375" style="53" customWidth="1"/>
    <col min="9450" max="9450" width="54.140625" style="53" customWidth="1"/>
    <col min="9451" max="9451" width="52" style="53" customWidth="1"/>
    <col min="9452" max="9452" width="5.28515625" style="53" customWidth="1"/>
    <col min="9453" max="9453" width="5.85546875" style="53" bestFit="1" customWidth="1"/>
    <col min="9454" max="9454" width="16.42578125" style="53" customWidth="1"/>
    <col min="9455" max="9455" width="4.5703125" style="53" customWidth="1"/>
    <col min="9456" max="9456" width="14.140625" style="53" customWidth="1"/>
    <col min="9457" max="9457" width="27.140625" style="53" customWidth="1"/>
    <col min="9458" max="9458" width="16.28515625" style="53" customWidth="1"/>
    <col min="9459" max="9459" width="13.85546875" style="53" customWidth="1"/>
    <col min="9460" max="9702" width="9.140625" style="53"/>
    <col min="9703" max="9703" width="1.7109375" style="53" customWidth="1"/>
    <col min="9704" max="9705" width="4.7109375" style="53" customWidth="1"/>
    <col min="9706" max="9706" width="54.140625" style="53" customWidth="1"/>
    <col min="9707" max="9707" width="52" style="53" customWidth="1"/>
    <col min="9708" max="9708" width="5.28515625" style="53" customWidth="1"/>
    <col min="9709" max="9709" width="5.85546875" style="53" bestFit="1" customWidth="1"/>
    <col min="9710" max="9710" width="16.42578125" style="53" customWidth="1"/>
    <col min="9711" max="9711" width="4.5703125" style="53" customWidth="1"/>
    <col min="9712" max="9712" width="14.140625" style="53" customWidth="1"/>
    <col min="9713" max="9713" width="27.140625" style="53" customWidth="1"/>
    <col min="9714" max="9714" width="16.28515625" style="53" customWidth="1"/>
    <col min="9715" max="9715" width="13.85546875" style="53" customWidth="1"/>
    <col min="9716" max="9958" width="9.140625" style="53"/>
    <col min="9959" max="9959" width="1.7109375" style="53" customWidth="1"/>
    <col min="9960" max="9961" width="4.7109375" style="53" customWidth="1"/>
    <col min="9962" max="9962" width="54.140625" style="53" customWidth="1"/>
    <col min="9963" max="9963" width="52" style="53" customWidth="1"/>
    <col min="9964" max="9964" width="5.28515625" style="53" customWidth="1"/>
    <col min="9965" max="9965" width="5.85546875" style="53" bestFit="1" customWidth="1"/>
    <col min="9966" max="9966" width="16.42578125" style="53" customWidth="1"/>
    <col min="9967" max="9967" width="4.5703125" style="53" customWidth="1"/>
    <col min="9968" max="9968" width="14.140625" style="53" customWidth="1"/>
    <col min="9969" max="9969" width="27.140625" style="53" customWidth="1"/>
    <col min="9970" max="9970" width="16.28515625" style="53" customWidth="1"/>
    <col min="9971" max="9971" width="13.85546875" style="53" customWidth="1"/>
    <col min="9972" max="10214" width="9.140625" style="53"/>
    <col min="10215" max="10215" width="1.7109375" style="53" customWidth="1"/>
    <col min="10216" max="10217" width="4.7109375" style="53" customWidth="1"/>
    <col min="10218" max="10218" width="54.140625" style="53" customWidth="1"/>
    <col min="10219" max="10219" width="52" style="53" customWidth="1"/>
    <col min="10220" max="10220" width="5.28515625" style="53" customWidth="1"/>
    <col min="10221" max="10221" width="5.85546875" style="53" bestFit="1" customWidth="1"/>
    <col min="10222" max="10222" width="16.42578125" style="53" customWidth="1"/>
    <col min="10223" max="10223" width="4.5703125" style="53" customWidth="1"/>
    <col min="10224" max="10224" width="14.140625" style="53" customWidth="1"/>
    <col min="10225" max="10225" width="27.140625" style="53" customWidth="1"/>
    <col min="10226" max="10226" width="16.28515625" style="53" customWidth="1"/>
    <col min="10227" max="10227" width="13.85546875" style="53" customWidth="1"/>
    <col min="10228" max="10470" width="9.140625" style="53"/>
    <col min="10471" max="10471" width="1.7109375" style="53" customWidth="1"/>
    <col min="10472" max="10473" width="4.7109375" style="53" customWidth="1"/>
    <col min="10474" max="10474" width="54.140625" style="53" customWidth="1"/>
    <col min="10475" max="10475" width="52" style="53" customWidth="1"/>
    <col min="10476" max="10476" width="5.28515625" style="53" customWidth="1"/>
    <col min="10477" max="10477" width="5.85546875" style="53" bestFit="1" customWidth="1"/>
    <col min="10478" max="10478" width="16.42578125" style="53" customWidth="1"/>
    <col min="10479" max="10479" width="4.5703125" style="53" customWidth="1"/>
    <col min="10480" max="10480" width="14.140625" style="53" customWidth="1"/>
    <col min="10481" max="10481" width="27.140625" style="53" customWidth="1"/>
    <col min="10482" max="10482" width="16.28515625" style="53" customWidth="1"/>
    <col min="10483" max="10483" width="13.85546875" style="53" customWidth="1"/>
    <col min="10484" max="10726" width="9.140625" style="53"/>
    <col min="10727" max="10727" width="1.7109375" style="53" customWidth="1"/>
    <col min="10728" max="10729" width="4.7109375" style="53" customWidth="1"/>
    <col min="10730" max="10730" width="54.140625" style="53" customWidth="1"/>
    <col min="10731" max="10731" width="52" style="53" customWidth="1"/>
    <col min="10732" max="10732" width="5.28515625" style="53" customWidth="1"/>
    <col min="10733" max="10733" width="5.85546875" style="53" bestFit="1" customWidth="1"/>
    <col min="10734" max="10734" width="16.42578125" style="53" customWidth="1"/>
    <col min="10735" max="10735" width="4.5703125" style="53" customWidth="1"/>
    <col min="10736" max="10736" width="14.140625" style="53" customWidth="1"/>
    <col min="10737" max="10737" width="27.140625" style="53" customWidth="1"/>
    <col min="10738" max="10738" width="16.28515625" style="53" customWidth="1"/>
    <col min="10739" max="10739" width="13.85546875" style="53" customWidth="1"/>
    <col min="10740" max="10982" width="9.140625" style="53"/>
    <col min="10983" max="10983" width="1.7109375" style="53" customWidth="1"/>
    <col min="10984" max="10985" width="4.7109375" style="53" customWidth="1"/>
    <col min="10986" max="10986" width="54.140625" style="53" customWidth="1"/>
    <col min="10987" max="10987" width="52" style="53" customWidth="1"/>
    <col min="10988" max="10988" width="5.28515625" style="53" customWidth="1"/>
    <col min="10989" max="10989" width="5.85546875" style="53" bestFit="1" customWidth="1"/>
    <col min="10990" max="10990" width="16.42578125" style="53" customWidth="1"/>
    <col min="10991" max="10991" width="4.5703125" style="53" customWidth="1"/>
    <col min="10992" max="10992" width="14.140625" style="53" customWidth="1"/>
    <col min="10993" max="10993" width="27.140625" style="53" customWidth="1"/>
    <col min="10994" max="10994" width="16.28515625" style="53" customWidth="1"/>
    <col min="10995" max="10995" width="13.85546875" style="53" customWidth="1"/>
    <col min="10996" max="11238" width="9.140625" style="53"/>
    <col min="11239" max="11239" width="1.7109375" style="53" customWidth="1"/>
    <col min="11240" max="11241" width="4.7109375" style="53" customWidth="1"/>
    <col min="11242" max="11242" width="54.140625" style="53" customWidth="1"/>
    <col min="11243" max="11243" width="52" style="53" customWidth="1"/>
    <col min="11244" max="11244" width="5.28515625" style="53" customWidth="1"/>
    <col min="11245" max="11245" width="5.85546875" style="53" bestFit="1" customWidth="1"/>
    <col min="11246" max="11246" width="16.42578125" style="53" customWidth="1"/>
    <col min="11247" max="11247" width="4.5703125" style="53" customWidth="1"/>
    <col min="11248" max="11248" width="14.140625" style="53" customWidth="1"/>
    <col min="11249" max="11249" width="27.140625" style="53" customWidth="1"/>
    <col min="11250" max="11250" width="16.28515625" style="53" customWidth="1"/>
    <col min="11251" max="11251" width="13.85546875" style="53" customWidth="1"/>
    <col min="11252" max="11494" width="9.140625" style="53"/>
    <col min="11495" max="11495" width="1.7109375" style="53" customWidth="1"/>
    <col min="11496" max="11497" width="4.7109375" style="53" customWidth="1"/>
    <col min="11498" max="11498" width="54.140625" style="53" customWidth="1"/>
    <col min="11499" max="11499" width="52" style="53" customWidth="1"/>
    <col min="11500" max="11500" width="5.28515625" style="53" customWidth="1"/>
    <col min="11501" max="11501" width="5.85546875" style="53" bestFit="1" customWidth="1"/>
    <col min="11502" max="11502" width="16.42578125" style="53" customWidth="1"/>
    <col min="11503" max="11503" width="4.5703125" style="53" customWidth="1"/>
    <col min="11504" max="11504" width="14.140625" style="53" customWidth="1"/>
    <col min="11505" max="11505" width="27.140625" style="53" customWidth="1"/>
    <col min="11506" max="11506" width="16.28515625" style="53" customWidth="1"/>
    <col min="11507" max="11507" width="13.85546875" style="53" customWidth="1"/>
    <col min="11508" max="11750" width="9.140625" style="53"/>
    <col min="11751" max="11751" width="1.7109375" style="53" customWidth="1"/>
    <col min="11752" max="11753" width="4.7109375" style="53" customWidth="1"/>
    <col min="11754" max="11754" width="54.140625" style="53" customWidth="1"/>
    <col min="11755" max="11755" width="52" style="53" customWidth="1"/>
    <col min="11756" max="11756" width="5.28515625" style="53" customWidth="1"/>
    <col min="11757" max="11757" width="5.85546875" style="53" bestFit="1" customWidth="1"/>
    <col min="11758" max="11758" width="16.42578125" style="53" customWidth="1"/>
    <col min="11759" max="11759" width="4.5703125" style="53" customWidth="1"/>
    <col min="11760" max="11760" width="14.140625" style="53" customWidth="1"/>
    <col min="11761" max="11761" width="27.140625" style="53" customWidth="1"/>
    <col min="11762" max="11762" width="16.28515625" style="53" customWidth="1"/>
    <col min="11763" max="11763" width="13.85546875" style="53" customWidth="1"/>
    <col min="11764" max="12006" width="9.140625" style="53"/>
    <col min="12007" max="12007" width="1.7109375" style="53" customWidth="1"/>
    <col min="12008" max="12009" width="4.7109375" style="53" customWidth="1"/>
    <col min="12010" max="12010" width="54.140625" style="53" customWidth="1"/>
    <col min="12011" max="12011" width="52" style="53" customWidth="1"/>
    <col min="12012" max="12012" width="5.28515625" style="53" customWidth="1"/>
    <col min="12013" max="12013" width="5.85546875" style="53" bestFit="1" customWidth="1"/>
    <col min="12014" max="12014" width="16.42578125" style="53" customWidth="1"/>
    <col min="12015" max="12015" width="4.5703125" style="53" customWidth="1"/>
    <col min="12016" max="12016" width="14.140625" style="53" customWidth="1"/>
    <col min="12017" max="12017" width="27.140625" style="53" customWidth="1"/>
    <col min="12018" max="12018" width="16.28515625" style="53" customWidth="1"/>
    <col min="12019" max="12019" width="13.85546875" style="53" customWidth="1"/>
    <col min="12020" max="12262" width="9.140625" style="53"/>
    <col min="12263" max="12263" width="1.7109375" style="53" customWidth="1"/>
    <col min="12264" max="12265" width="4.7109375" style="53" customWidth="1"/>
    <col min="12266" max="12266" width="54.140625" style="53" customWidth="1"/>
    <col min="12267" max="12267" width="52" style="53" customWidth="1"/>
    <col min="12268" max="12268" width="5.28515625" style="53" customWidth="1"/>
    <col min="12269" max="12269" width="5.85546875" style="53" bestFit="1" customWidth="1"/>
    <col min="12270" max="12270" width="16.42578125" style="53" customWidth="1"/>
    <col min="12271" max="12271" width="4.5703125" style="53" customWidth="1"/>
    <col min="12272" max="12272" width="14.140625" style="53" customWidth="1"/>
    <col min="12273" max="12273" width="27.140625" style="53" customWidth="1"/>
    <col min="12274" max="12274" width="16.28515625" style="53" customWidth="1"/>
    <col min="12275" max="12275" width="13.85546875" style="53" customWidth="1"/>
    <col min="12276" max="12518" width="9.140625" style="53"/>
    <col min="12519" max="12519" width="1.7109375" style="53" customWidth="1"/>
    <col min="12520" max="12521" width="4.7109375" style="53" customWidth="1"/>
    <col min="12522" max="12522" width="54.140625" style="53" customWidth="1"/>
    <col min="12523" max="12523" width="52" style="53" customWidth="1"/>
    <col min="12524" max="12524" width="5.28515625" style="53" customWidth="1"/>
    <col min="12525" max="12525" width="5.85546875" style="53" bestFit="1" customWidth="1"/>
    <col min="12526" max="12526" width="16.42578125" style="53" customWidth="1"/>
    <col min="12527" max="12527" width="4.5703125" style="53" customWidth="1"/>
    <col min="12528" max="12528" width="14.140625" style="53" customWidth="1"/>
    <col min="12529" max="12529" width="27.140625" style="53" customWidth="1"/>
    <col min="12530" max="12530" width="16.28515625" style="53" customWidth="1"/>
    <col min="12531" max="12531" width="13.85546875" style="53" customWidth="1"/>
    <col min="12532" max="12774" width="9.140625" style="53"/>
    <col min="12775" max="12775" width="1.7109375" style="53" customWidth="1"/>
    <col min="12776" max="12777" width="4.7109375" style="53" customWidth="1"/>
    <col min="12778" max="12778" width="54.140625" style="53" customWidth="1"/>
    <col min="12779" max="12779" width="52" style="53" customWidth="1"/>
    <col min="12780" max="12780" width="5.28515625" style="53" customWidth="1"/>
    <col min="12781" max="12781" width="5.85546875" style="53" bestFit="1" customWidth="1"/>
    <col min="12782" max="12782" width="16.42578125" style="53" customWidth="1"/>
    <col min="12783" max="12783" width="4.5703125" style="53" customWidth="1"/>
    <col min="12784" max="12784" width="14.140625" style="53" customWidth="1"/>
    <col min="12785" max="12785" width="27.140625" style="53" customWidth="1"/>
    <col min="12786" max="12786" width="16.28515625" style="53" customWidth="1"/>
    <col min="12787" max="12787" width="13.85546875" style="53" customWidth="1"/>
    <col min="12788" max="13030" width="9.140625" style="53"/>
    <col min="13031" max="13031" width="1.7109375" style="53" customWidth="1"/>
    <col min="13032" max="13033" width="4.7109375" style="53" customWidth="1"/>
    <col min="13034" max="13034" width="54.140625" style="53" customWidth="1"/>
    <col min="13035" max="13035" width="52" style="53" customWidth="1"/>
    <col min="13036" max="13036" width="5.28515625" style="53" customWidth="1"/>
    <col min="13037" max="13037" width="5.85546875" style="53" bestFit="1" customWidth="1"/>
    <col min="13038" max="13038" width="16.42578125" style="53" customWidth="1"/>
    <col min="13039" max="13039" width="4.5703125" style="53" customWidth="1"/>
    <col min="13040" max="13040" width="14.140625" style="53" customWidth="1"/>
    <col min="13041" max="13041" width="27.140625" style="53" customWidth="1"/>
    <col min="13042" max="13042" width="16.28515625" style="53" customWidth="1"/>
    <col min="13043" max="13043" width="13.85546875" style="53" customWidth="1"/>
    <col min="13044" max="13286" width="9.140625" style="53"/>
    <col min="13287" max="13287" width="1.7109375" style="53" customWidth="1"/>
    <col min="13288" max="13289" width="4.7109375" style="53" customWidth="1"/>
    <col min="13290" max="13290" width="54.140625" style="53" customWidth="1"/>
    <col min="13291" max="13291" width="52" style="53" customWidth="1"/>
    <col min="13292" max="13292" width="5.28515625" style="53" customWidth="1"/>
    <col min="13293" max="13293" width="5.85546875" style="53" bestFit="1" customWidth="1"/>
    <col min="13294" max="13294" width="16.42578125" style="53" customWidth="1"/>
    <col min="13295" max="13295" width="4.5703125" style="53" customWidth="1"/>
    <col min="13296" max="13296" width="14.140625" style="53" customWidth="1"/>
    <col min="13297" max="13297" width="27.140625" style="53" customWidth="1"/>
    <col min="13298" max="13298" width="16.28515625" style="53" customWidth="1"/>
    <col min="13299" max="13299" width="13.85546875" style="53" customWidth="1"/>
    <col min="13300" max="13542" width="9.140625" style="53"/>
    <col min="13543" max="13543" width="1.7109375" style="53" customWidth="1"/>
    <col min="13544" max="13545" width="4.7109375" style="53" customWidth="1"/>
    <col min="13546" max="13546" width="54.140625" style="53" customWidth="1"/>
    <col min="13547" max="13547" width="52" style="53" customWidth="1"/>
    <col min="13548" max="13548" width="5.28515625" style="53" customWidth="1"/>
    <col min="13549" max="13549" width="5.85546875" style="53" bestFit="1" customWidth="1"/>
    <col min="13550" max="13550" width="16.42578125" style="53" customWidth="1"/>
    <col min="13551" max="13551" width="4.5703125" style="53" customWidth="1"/>
    <col min="13552" max="13552" width="14.140625" style="53" customWidth="1"/>
    <col min="13553" max="13553" width="27.140625" style="53" customWidth="1"/>
    <col min="13554" max="13554" width="16.28515625" style="53" customWidth="1"/>
    <col min="13555" max="13555" width="13.85546875" style="53" customWidth="1"/>
    <col min="13556" max="13798" width="9.140625" style="53"/>
    <col min="13799" max="13799" width="1.7109375" style="53" customWidth="1"/>
    <col min="13800" max="13801" width="4.7109375" style="53" customWidth="1"/>
    <col min="13802" max="13802" width="54.140625" style="53" customWidth="1"/>
    <col min="13803" max="13803" width="52" style="53" customWidth="1"/>
    <col min="13804" max="13804" width="5.28515625" style="53" customWidth="1"/>
    <col min="13805" max="13805" width="5.85546875" style="53" bestFit="1" customWidth="1"/>
    <col min="13806" max="13806" width="16.42578125" style="53" customWidth="1"/>
    <col min="13807" max="13807" width="4.5703125" style="53" customWidth="1"/>
    <col min="13808" max="13808" width="14.140625" style="53" customWidth="1"/>
    <col min="13809" max="13809" width="27.140625" style="53" customWidth="1"/>
    <col min="13810" max="13810" width="16.28515625" style="53" customWidth="1"/>
    <col min="13811" max="13811" width="13.85546875" style="53" customWidth="1"/>
    <col min="13812" max="14054" width="9.140625" style="53"/>
    <col min="14055" max="14055" width="1.7109375" style="53" customWidth="1"/>
    <col min="14056" max="14057" width="4.7109375" style="53" customWidth="1"/>
    <col min="14058" max="14058" width="54.140625" style="53" customWidth="1"/>
    <col min="14059" max="14059" width="52" style="53" customWidth="1"/>
    <col min="14060" max="14060" width="5.28515625" style="53" customWidth="1"/>
    <col min="14061" max="14061" width="5.85546875" style="53" bestFit="1" customWidth="1"/>
    <col min="14062" max="14062" width="16.42578125" style="53" customWidth="1"/>
    <col min="14063" max="14063" width="4.5703125" style="53" customWidth="1"/>
    <col min="14064" max="14064" width="14.140625" style="53" customWidth="1"/>
    <col min="14065" max="14065" width="27.140625" style="53" customWidth="1"/>
    <col min="14066" max="14066" width="16.28515625" style="53" customWidth="1"/>
    <col min="14067" max="14067" width="13.85546875" style="53" customWidth="1"/>
    <col min="14068" max="14310" width="9.140625" style="53"/>
    <col min="14311" max="14311" width="1.7109375" style="53" customWidth="1"/>
    <col min="14312" max="14313" width="4.7109375" style="53" customWidth="1"/>
    <col min="14314" max="14314" width="54.140625" style="53" customWidth="1"/>
    <col min="14315" max="14315" width="52" style="53" customWidth="1"/>
    <col min="14316" max="14316" width="5.28515625" style="53" customWidth="1"/>
    <col min="14317" max="14317" width="5.85546875" style="53" bestFit="1" customWidth="1"/>
    <col min="14318" max="14318" width="16.42578125" style="53" customWidth="1"/>
    <col min="14319" max="14319" width="4.5703125" style="53" customWidth="1"/>
    <col min="14320" max="14320" width="14.140625" style="53" customWidth="1"/>
    <col min="14321" max="14321" width="27.140625" style="53" customWidth="1"/>
    <col min="14322" max="14322" width="16.28515625" style="53" customWidth="1"/>
    <col min="14323" max="14323" width="13.85546875" style="53" customWidth="1"/>
    <col min="14324" max="14566" width="9.140625" style="53"/>
    <col min="14567" max="14567" width="1.7109375" style="53" customWidth="1"/>
    <col min="14568" max="14569" width="4.7109375" style="53" customWidth="1"/>
    <col min="14570" max="14570" width="54.140625" style="53" customWidth="1"/>
    <col min="14571" max="14571" width="52" style="53" customWidth="1"/>
    <col min="14572" max="14572" width="5.28515625" style="53" customWidth="1"/>
    <col min="14573" max="14573" width="5.85546875" style="53" bestFit="1" customWidth="1"/>
    <col min="14574" max="14574" width="16.42578125" style="53" customWidth="1"/>
    <col min="14575" max="14575" width="4.5703125" style="53" customWidth="1"/>
    <col min="14576" max="14576" width="14.140625" style="53" customWidth="1"/>
    <col min="14577" max="14577" width="27.140625" style="53" customWidth="1"/>
    <col min="14578" max="14578" width="16.28515625" style="53" customWidth="1"/>
    <col min="14579" max="14579" width="13.85546875" style="53" customWidth="1"/>
    <col min="14580" max="14822" width="9.140625" style="53"/>
    <col min="14823" max="14823" width="1.7109375" style="53" customWidth="1"/>
    <col min="14824" max="14825" width="4.7109375" style="53" customWidth="1"/>
    <col min="14826" max="14826" width="54.140625" style="53" customWidth="1"/>
    <col min="14827" max="14827" width="52" style="53" customWidth="1"/>
    <col min="14828" max="14828" width="5.28515625" style="53" customWidth="1"/>
    <col min="14829" max="14829" width="5.85546875" style="53" bestFit="1" customWidth="1"/>
    <col min="14830" max="14830" width="16.42578125" style="53" customWidth="1"/>
    <col min="14831" max="14831" width="4.5703125" style="53" customWidth="1"/>
    <col min="14832" max="14832" width="14.140625" style="53" customWidth="1"/>
    <col min="14833" max="14833" width="27.140625" style="53" customWidth="1"/>
    <col min="14834" max="14834" width="16.28515625" style="53" customWidth="1"/>
    <col min="14835" max="14835" width="13.85546875" style="53" customWidth="1"/>
    <col min="14836" max="15078" width="9.140625" style="53"/>
    <col min="15079" max="15079" width="1.7109375" style="53" customWidth="1"/>
    <col min="15080" max="15081" width="4.7109375" style="53" customWidth="1"/>
    <col min="15082" max="15082" width="54.140625" style="53" customWidth="1"/>
    <col min="15083" max="15083" width="52" style="53" customWidth="1"/>
    <col min="15084" max="15084" width="5.28515625" style="53" customWidth="1"/>
    <col min="15085" max="15085" width="5.85546875" style="53" bestFit="1" customWidth="1"/>
    <col min="15086" max="15086" width="16.42578125" style="53" customWidth="1"/>
    <col min="15087" max="15087" width="4.5703125" style="53" customWidth="1"/>
    <col min="15088" max="15088" width="14.140625" style="53" customWidth="1"/>
    <col min="15089" max="15089" width="27.140625" style="53" customWidth="1"/>
    <col min="15090" max="15090" width="16.28515625" style="53" customWidth="1"/>
    <col min="15091" max="15091" width="13.85546875" style="53" customWidth="1"/>
    <col min="15092" max="15334" width="9.140625" style="53"/>
    <col min="15335" max="15335" width="1.7109375" style="53" customWidth="1"/>
    <col min="15336" max="15337" width="4.7109375" style="53" customWidth="1"/>
    <col min="15338" max="15338" width="54.140625" style="53" customWidth="1"/>
    <col min="15339" max="15339" width="52" style="53" customWidth="1"/>
    <col min="15340" max="15340" width="5.28515625" style="53" customWidth="1"/>
    <col min="15341" max="15341" width="5.85546875" style="53" bestFit="1" customWidth="1"/>
    <col min="15342" max="15342" width="16.42578125" style="53" customWidth="1"/>
    <col min="15343" max="15343" width="4.5703125" style="53" customWidth="1"/>
    <col min="15344" max="15344" width="14.140625" style="53" customWidth="1"/>
    <col min="15345" max="15345" width="27.140625" style="53" customWidth="1"/>
    <col min="15346" max="15346" width="16.28515625" style="53" customWidth="1"/>
    <col min="15347" max="15347" width="13.85546875" style="53" customWidth="1"/>
    <col min="15348" max="15590" width="9.140625" style="53"/>
    <col min="15591" max="15591" width="1.7109375" style="53" customWidth="1"/>
    <col min="15592" max="15593" width="4.7109375" style="53" customWidth="1"/>
    <col min="15594" max="15594" width="54.140625" style="53" customWidth="1"/>
    <col min="15595" max="15595" width="52" style="53" customWidth="1"/>
    <col min="15596" max="15596" width="5.28515625" style="53" customWidth="1"/>
    <col min="15597" max="15597" width="5.85546875" style="53" bestFit="1" customWidth="1"/>
    <col min="15598" max="15598" width="16.42578125" style="53" customWidth="1"/>
    <col min="15599" max="15599" width="4.5703125" style="53" customWidth="1"/>
    <col min="15600" max="15600" width="14.140625" style="53" customWidth="1"/>
    <col min="15601" max="15601" width="27.140625" style="53" customWidth="1"/>
    <col min="15602" max="15602" width="16.28515625" style="53" customWidth="1"/>
    <col min="15603" max="15603" width="13.85546875" style="53" customWidth="1"/>
    <col min="15604" max="15846" width="9.140625" style="53"/>
    <col min="15847" max="15847" width="1.7109375" style="53" customWidth="1"/>
    <col min="15848" max="15849" width="4.7109375" style="53" customWidth="1"/>
    <col min="15850" max="15850" width="54.140625" style="53" customWidth="1"/>
    <col min="15851" max="15851" width="52" style="53" customWidth="1"/>
    <col min="15852" max="15852" width="5.28515625" style="53" customWidth="1"/>
    <col min="15853" max="15853" width="5.85546875" style="53" bestFit="1" customWidth="1"/>
    <col min="15854" max="15854" width="16.42578125" style="53" customWidth="1"/>
    <col min="15855" max="15855" width="4.5703125" style="53" customWidth="1"/>
    <col min="15856" max="15856" width="14.140625" style="53" customWidth="1"/>
    <col min="15857" max="15857" width="27.140625" style="53" customWidth="1"/>
    <col min="15858" max="15858" width="16.28515625" style="53" customWidth="1"/>
    <col min="15859" max="15859" width="13.85546875" style="53" customWidth="1"/>
    <col min="15860" max="16102" width="9.140625" style="53"/>
    <col min="16103" max="16103" width="1.7109375" style="53" customWidth="1"/>
    <col min="16104" max="16105" width="4.7109375" style="53" customWidth="1"/>
    <col min="16106" max="16106" width="54.140625" style="53" customWidth="1"/>
    <col min="16107" max="16107" width="52" style="53" customWidth="1"/>
    <col min="16108" max="16108" width="5.28515625" style="53" customWidth="1"/>
    <col min="16109" max="16109" width="5.85546875" style="53" bestFit="1" customWidth="1"/>
    <col min="16110" max="16110" width="16.42578125" style="53" customWidth="1"/>
    <col min="16111" max="16111" width="4.5703125" style="53" customWidth="1"/>
    <col min="16112" max="16112" width="14.140625" style="53" customWidth="1"/>
    <col min="16113" max="16113" width="27.140625" style="53" customWidth="1"/>
    <col min="16114" max="16114" width="16.28515625" style="53" customWidth="1"/>
    <col min="16115" max="16115" width="13.85546875" style="53" customWidth="1"/>
    <col min="16116" max="16384" width="9.140625" style="53"/>
  </cols>
  <sheetData>
    <row r="2" spans="2:15" s="5" customFormat="1" ht="15.75" hidden="1" x14ac:dyDescent="0.25">
      <c r="B2" s="2"/>
      <c r="C2" s="1645" t="s">
        <v>431</v>
      </c>
      <c r="D2" s="1645"/>
      <c r="E2" s="1645"/>
      <c r="F2" s="1645"/>
      <c r="G2" s="1645"/>
      <c r="H2" s="1645"/>
      <c r="I2" s="1645"/>
      <c r="J2" s="451"/>
      <c r="K2" s="451"/>
      <c r="L2" s="3"/>
    </row>
    <row r="3" spans="2:15" s="5" customFormat="1" ht="13.5" customHeight="1" x14ac:dyDescent="0.25">
      <c r="B3" s="2"/>
      <c r="C3" s="1646" t="s">
        <v>0</v>
      </c>
      <c r="D3" s="1646"/>
      <c r="E3" s="1646"/>
      <c r="F3" s="1646"/>
      <c r="G3" s="1646"/>
      <c r="H3" s="1646"/>
      <c r="I3" s="1646"/>
      <c r="J3" s="1646"/>
      <c r="K3" s="681"/>
      <c r="L3" s="481"/>
    </row>
    <row r="4" spans="2:15" s="4" customFormat="1" ht="14.25" customHeight="1" x14ac:dyDescent="0.25">
      <c r="B4" s="2"/>
      <c r="C4" s="1646" t="s">
        <v>1</v>
      </c>
      <c r="D4" s="1646"/>
      <c r="E4" s="1646"/>
      <c r="F4" s="1646"/>
      <c r="G4" s="1646"/>
      <c r="H4" s="1646"/>
      <c r="I4" s="1646"/>
      <c r="J4" s="1646"/>
      <c r="K4" s="681"/>
      <c r="L4" s="481"/>
    </row>
    <row r="5" spans="2:15" s="4" customFormat="1" ht="15.75" x14ac:dyDescent="0.25">
      <c r="B5" s="2"/>
      <c r="C5" s="452"/>
      <c r="D5" s="453"/>
      <c r="E5" s="453"/>
      <c r="F5" s="453"/>
      <c r="G5" s="454"/>
      <c r="H5" s="457"/>
      <c r="I5" s="457"/>
      <c r="J5" s="458"/>
      <c r="K5" s="456"/>
      <c r="L5" s="484"/>
    </row>
    <row r="6" spans="2:15" s="4" customFormat="1" ht="18" customHeight="1" x14ac:dyDescent="0.25">
      <c r="B6" s="2"/>
      <c r="C6" s="1647" t="s">
        <v>2</v>
      </c>
      <c r="D6" s="1647"/>
      <c r="E6" s="1505" t="s">
        <v>3</v>
      </c>
      <c r="F6" s="1505"/>
      <c r="G6" s="1505"/>
      <c r="H6" s="457"/>
      <c r="I6" s="457"/>
      <c r="J6" s="458"/>
      <c r="K6" s="456"/>
      <c r="L6" s="484"/>
    </row>
    <row r="7" spans="2:15" s="4" customFormat="1" ht="3.75" customHeight="1" thickBot="1" x14ac:dyDescent="0.3">
      <c r="B7" s="2"/>
      <c r="C7" s="6"/>
      <c r="D7" s="8"/>
      <c r="E7" s="8"/>
      <c r="F7" s="8"/>
      <c r="G7" s="9"/>
      <c r="H7" s="12"/>
      <c r="I7" s="12"/>
      <c r="J7" s="7"/>
      <c r="K7" s="11"/>
      <c r="L7" s="484"/>
    </row>
    <row r="8" spans="2:15" s="15" customFormat="1" ht="32.25" customHeight="1" thickTop="1" x14ac:dyDescent="0.25">
      <c r="B8" s="13"/>
      <c r="C8" s="1648" t="s">
        <v>433</v>
      </c>
      <c r="D8" s="1649"/>
      <c r="E8" s="1650"/>
      <c r="F8" s="1654" t="s">
        <v>418</v>
      </c>
      <c r="G8" s="1650"/>
      <c r="H8" s="1662" t="s">
        <v>502</v>
      </c>
      <c r="I8" s="1666" t="s">
        <v>488</v>
      </c>
      <c r="J8" s="14"/>
      <c r="K8" s="1643" t="s">
        <v>469</v>
      </c>
      <c r="L8" s="441" t="s">
        <v>426</v>
      </c>
      <c r="M8" s="16"/>
    </row>
    <row r="9" spans="2:15" s="15" customFormat="1" x14ac:dyDescent="0.25">
      <c r="B9" s="13"/>
      <c r="C9" s="1651"/>
      <c r="D9" s="1652"/>
      <c r="E9" s="1653"/>
      <c r="F9" s="1655"/>
      <c r="G9" s="1653"/>
      <c r="H9" s="1663"/>
      <c r="I9" s="1667"/>
      <c r="J9" s="14"/>
      <c r="K9" s="1644"/>
      <c r="L9" s="14"/>
      <c r="O9" s="17"/>
    </row>
    <row r="10" spans="2:15" s="29" customFormat="1" ht="29.25" customHeight="1" x14ac:dyDescent="0.25">
      <c r="B10" s="13"/>
      <c r="C10" s="1669" t="s">
        <v>4</v>
      </c>
      <c r="D10" s="1670"/>
      <c r="E10" s="1670"/>
      <c r="F10" s="1670"/>
      <c r="G10" s="1670"/>
      <c r="H10" s="821">
        <f>H11+H17</f>
        <v>307965438271</v>
      </c>
      <c r="I10" s="822">
        <f>I11+I17</f>
        <v>307965438271</v>
      </c>
      <c r="J10" s="26"/>
      <c r="K10" s="508"/>
      <c r="L10" s="485">
        <f>SUM(L11:L28)</f>
        <v>0</v>
      </c>
      <c r="M10" s="27" t="e">
        <f>#REF!-I10</f>
        <v>#REF!</v>
      </c>
      <c r="N10" s="28"/>
    </row>
    <row r="11" spans="2:15" s="15" customFormat="1" ht="30" customHeight="1" x14ac:dyDescent="0.25">
      <c r="B11" s="13"/>
      <c r="C11" s="1668" t="s">
        <v>487</v>
      </c>
      <c r="D11" s="1638"/>
      <c r="E11" s="1638"/>
      <c r="F11" s="1638"/>
      <c r="G11" s="1638"/>
      <c r="H11" s="609">
        <f>H12+H13+H14+H15+H16</f>
        <v>11438515300</v>
      </c>
      <c r="I11" s="31">
        <f>I12+I13+I14+I15+I16</f>
        <v>11438515300</v>
      </c>
      <c r="J11" s="32"/>
      <c r="K11" s="509"/>
      <c r="L11" s="486"/>
      <c r="M11" s="33"/>
      <c r="N11" s="17"/>
    </row>
    <row r="12" spans="2:15" s="62" customFormat="1" ht="21.75" customHeight="1" x14ac:dyDescent="0.25">
      <c r="B12" s="726"/>
      <c r="C12" s="1674" t="s">
        <v>432</v>
      </c>
      <c r="D12" s="1675"/>
      <c r="E12" s="1671" t="s">
        <v>6</v>
      </c>
      <c r="F12" s="1672"/>
      <c r="G12" s="1673"/>
      <c r="H12" s="727">
        <f>Gbg!J13</f>
        <v>5166573300</v>
      </c>
      <c r="I12" s="728">
        <f>Gbg!K13</f>
        <v>5166573300</v>
      </c>
      <c r="J12" s="44"/>
      <c r="K12" s="729"/>
      <c r="L12" s="488"/>
    </row>
    <row r="13" spans="2:15" s="62" customFormat="1" ht="21.75" customHeight="1" x14ac:dyDescent="0.25">
      <c r="B13" s="726"/>
      <c r="C13" s="1674" t="s">
        <v>434</v>
      </c>
      <c r="D13" s="1675"/>
      <c r="E13" s="1671" t="s">
        <v>35</v>
      </c>
      <c r="F13" s="1672"/>
      <c r="G13" s="1673"/>
      <c r="H13" s="727">
        <f>Gbg!J24</f>
        <v>4220250000</v>
      </c>
      <c r="I13" s="728">
        <f>Gbg!K24</f>
        <v>4220250000</v>
      </c>
      <c r="J13" s="44"/>
      <c r="K13" s="729"/>
      <c r="L13" s="488"/>
    </row>
    <row r="14" spans="2:15" s="62" customFormat="1" ht="21.75" customHeight="1" x14ac:dyDescent="0.25">
      <c r="B14" s="726"/>
      <c r="C14" s="1674" t="s">
        <v>435</v>
      </c>
      <c r="D14" s="1675"/>
      <c r="E14" s="1676" t="s">
        <v>59</v>
      </c>
      <c r="F14" s="1677"/>
      <c r="G14" s="1678"/>
      <c r="H14" s="727">
        <f>Gbg!J39</f>
        <v>329692000</v>
      </c>
      <c r="I14" s="728">
        <f>Gbg!K39</f>
        <v>329692000</v>
      </c>
      <c r="J14" s="44"/>
      <c r="K14" s="730"/>
      <c r="L14" s="488"/>
    </row>
    <row r="15" spans="2:15" s="62" customFormat="1" ht="21.75" customHeight="1" x14ac:dyDescent="0.25">
      <c r="B15" s="726"/>
      <c r="C15" s="1674" t="s">
        <v>436</v>
      </c>
      <c r="D15" s="1675"/>
      <c r="E15" s="1676" t="s">
        <v>63</v>
      </c>
      <c r="F15" s="1677"/>
      <c r="G15" s="1678"/>
      <c r="H15" s="727">
        <f>Gbg!J42</f>
        <v>250000000</v>
      </c>
      <c r="I15" s="728">
        <f>Gbg!K42</f>
        <v>250000000</v>
      </c>
      <c r="J15" s="44"/>
      <c r="K15" s="730"/>
      <c r="L15" s="488"/>
    </row>
    <row r="16" spans="2:15" s="62" customFormat="1" ht="21.75" customHeight="1" x14ac:dyDescent="0.25">
      <c r="B16" s="726"/>
      <c r="C16" s="1674" t="s">
        <v>437</v>
      </c>
      <c r="D16" s="1675"/>
      <c r="E16" s="1676" t="s">
        <v>67</v>
      </c>
      <c r="F16" s="1677"/>
      <c r="G16" s="1678"/>
      <c r="H16" s="727">
        <f>Gbg!J45</f>
        <v>1472000000</v>
      </c>
      <c r="I16" s="728">
        <f>Gbg!K45</f>
        <v>1472000000</v>
      </c>
      <c r="J16" s="44"/>
      <c r="K16" s="730"/>
      <c r="L16" s="488"/>
    </row>
    <row r="17" spans="2:15" s="15" customFormat="1" ht="30" customHeight="1" x14ac:dyDescent="0.25">
      <c r="B17" s="13"/>
      <c r="C17" s="1668" t="s">
        <v>75</v>
      </c>
      <c r="D17" s="1638"/>
      <c r="E17" s="1638"/>
      <c r="F17" s="1638"/>
      <c r="G17" s="1638"/>
      <c r="H17" s="623">
        <f>H18+H19+H20+H21+H22+H23+H24+H25+H26+H27+H28</f>
        <v>296526922971</v>
      </c>
      <c r="I17" s="103">
        <f>I18+I19+I20+I21+I22+I23+I24+I25+I26+I27+I28</f>
        <v>296526922971</v>
      </c>
      <c r="J17" s="104"/>
      <c r="K17" s="593"/>
      <c r="L17" s="14"/>
    </row>
    <row r="18" spans="2:15" s="62" customFormat="1" ht="22.5" customHeight="1" x14ac:dyDescent="0.25">
      <c r="B18" s="726"/>
      <c r="C18" s="1674" t="s">
        <v>438</v>
      </c>
      <c r="D18" s="1689"/>
      <c r="E18" s="1698" t="s">
        <v>76</v>
      </c>
      <c r="F18" s="1699"/>
      <c r="G18" s="1700"/>
      <c r="H18" s="805">
        <f>Gbg!J52</f>
        <v>175815000000</v>
      </c>
      <c r="I18" s="806">
        <f>Gbg!K52</f>
        <v>179015000000</v>
      </c>
      <c r="J18" s="118"/>
      <c r="K18" s="725"/>
      <c r="L18" s="118"/>
      <c r="M18" s="148">
        <v>1100000000</v>
      </c>
      <c r="N18" s="731">
        <v>172915000000</v>
      </c>
    </row>
    <row r="19" spans="2:15" s="62" customFormat="1" ht="22.5" customHeight="1" x14ac:dyDescent="0.25">
      <c r="B19" s="726"/>
      <c r="C19" s="1674" t="s">
        <v>452</v>
      </c>
      <c r="D19" s="1689"/>
      <c r="E19" s="1695" t="s">
        <v>189</v>
      </c>
      <c r="F19" s="1696"/>
      <c r="G19" s="1697"/>
      <c r="H19" s="807">
        <f>Gbg!J128</f>
        <v>61485840000</v>
      </c>
      <c r="I19" s="808">
        <f>Gbg!K128</f>
        <v>58285840000</v>
      </c>
      <c r="J19" s="7"/>
      <c r="K19" s="734"/>
      <c r="L19" s="484"/>
      <c r="M19" s="148"/>
      <c r="N19" s="731"/>
    </row>
    <row r="20" spans="2:15" s="62" customFormat="1" ht="22.5" customHeight="1" x14ac:dyDescent="0.25">
      <c r="B20" s="726"/>
      <c r="C20" s="1684" t="s">
        <v>453</v>
      </c>
      <c r="D20" s="1685"/>
      <c r="E20" s="1695" t="s">
        <v>231</v>
      </c>
      <c r="F20" s="1696"/>
      <c r="G20" s="1697"/>
      <c r="H20" s="735">
        <f>Gbg!J153</f>
        <v>1850000000</v>
      </c>
      <c r="I20" s="736">
        <f>Gbg!K153</f>
        <v>1850000000</v>
      </c>
      <c r="J20" s="319"/>
      <c r="K20" s="737"/>
      <c r="L20" s="504"/>
      <c r="M20" s="63"/>
    </row>
    <row r="21" spans="2:15" s="62" customFormat="1" ht="22.5" customHeight="1" x14ac:dyDescent="0.25">
      <c r="B21" s="726"/>
      <c r="C21" s="1674" t="s">
        <v>454</v>
      </c>
      <c r="D21" s="1689"/>
      <c r="E21" s="1695" t="s">
        <v>238</v>
      </c>
      <c r="F21" s="1696"/>
      <c r="G21" s="1697"/>
      <c r="H21" s="738">
        <f>Gbg!J158</f>
        <v>7000000000</v>
      </c>
      <c r="I21" s="739">
        <f>Gbg!K158</f>
        <v>7000000000</v>
      </c>
      <c r="J21" s="296"/>
      <c r="K21" s="737"/>
      <c r="L21" s="501"/>
      <c r="O21" s="63"/>
    </row>
    <row r="22" spans="2:15" s="62" customFormat="1" ht="24.75" customHeight="1" x14ac:dyDescent="0.25">
      <c r="B22" s="726"/>
      <c r="C22" s="1693" t="s">
        <v>455</v>
      </c>
      <c r="D22" s="1694"/>
      <c r="E22" s="1695" t="s">
        <v>252</v>
      </c>
      <c r="F22" s="1696"/>
      <c r="G22" s="1697"/>
      <c r="H22" s="809">
        <f>Gbg!J166</f>
        <v>39876082971</v>
      </c>
      <c r="I22" s="810">
        <f>Gbg!K166</f>
        <v>39100000000</v>
      </c>
      <c r="J22" s="319"/>
      <c r="K22" s="737"/>
      <c r="L22" s="504"/>
      <c r="M22" s="148"/>
      <c r="N22" s="731">
        <v>42276082971</v>
      </c>
    </row>
    <row r="23" spans="2:15" s="62" customFormat="1" ht="22.5" customHeight="1" x14ac:dyDescent="0.25">
      <c r="B23" s="726"/>
      <c r="C23" s="1674" t="s">
        <v>456</v>
      </c>
      <c r="D23" s="1689"/>
      <c r="E23" s="1690" t="s">
        <v>326</v>
      </c>
      <c r="F23" s="1691"/>
      <c r="G23" s="1692"/>
      <c r="H23" s="732">
        <f>Gbg!J207</f>
        <v>750000000</v>
      </c>
      <c r="I23" s="733">
        <f>Gbg!K207</f>
        <v>750000000</v>
      </c>
      <c r="J23" s="7"/>
      <c r="K23" s="740"/>
      <c r="L23" s="484"/>
    </row>
    <row r="24" spans="2:15" s="62" customFormat="1" ht="22.5" customHeight="1" x14ac:dyDescent="0.25">
      <c r="B24" s="726"/>
      <c r="C24" s="1674" t="s">
        <v>457</v>
      </c>
      <c r="D24" s="1689"/>
      <c r="E24" s="1690" t="s">
        <v>333</v>
      </c>
      <c r="F24" s="1691"/>
      <c r="G24" s="1692"/>
      <c r="H24" s="807">
        <f>Gbg!J211</f>
        <v>2200000000</v>
      </c>
      <c r="I24" s="808">
        <f>Gbg!K211</f>
        <v>2976082971</v>
      </c>
      <c r="J24" s="7"/>
      <c r="K24" s="740"/>
      <c r="L24" s="484"/>
    </row>
    <row r="25" spans="2:15" s="62" customFormat="1" ht="22.5" customHeight="1" x14ac:dyDescent="0.25">
      <c r="B25" s="726"/>
      <c r="C25" s="1674" t="s">
        <v>458</v>
      </c>
      <c r="D25" s="1689"/>
      <c r="E25" s="1690" t="s">
        <v>341</v>
      </c>
      <c r="F25" s="1691"/>
      <c r="G25" s="1692"/>
      <c r="H25" s="732">
        <f>Gbg!J215</f>
        <v>1550000000</v>
      </c>
      <c r="I25" s="733">
        <f>Gbg!K215</f>
        <v>1550000000</v>
      </c>
      <c r="J25" s="7"/>
      <c r="K25" s="740"/>
      <c r="L25" s="484"/>
    </row>
    <row r="26" spans="2:15" s="62" customFormat="1" ht="22.5" customHeight="1" x14ac:dyDescent="0.25">
      <c r="B26" s="726"/>
      <c r="C26" s="1684" t="s">
        <v>459</v>
      </c>
      <c r="D26" s="1685"/>
      <c r="E26" s="1686" t="s">
        <v>355</v>
      </c>
      <c r="F26" s="1687"/>
      <c r="G26" s="1688"/>
      <c r="H26" s="735">
        <f>Gbg!J222</f>
        <v>5200000000</v>
      </c>
      <c r="I26" s="736">
        <f>Gbg!K222</f>
        <v>5200000000</v>
      </c>
      <c r="J26" s="319"/>
      <c r="K26" s="741"/>
      <c r="L26" s="504"/>
      <c r="M26" s="63"/>
      <c r="O26" s="63"/>
    </row>
    <row r="27" spans="2:15" s="62" customFormat="1" ht="22.5" customHeight="1" x14ac:dyDescent="0.25">
      <c r="B27" s="726"/>
      <c r="C27" s="1684" t="s">
        <v>460</v>
      </c>
      <c r="D27" s="1685"/>
      <c r="E27" s="1686" t="s">
        <v>378</v>
      </c>
      <c r="F27" s="1687"/>
      <c r="G27" s="1688"/>
      <c r="H27" s="735">
        <f>Gbg!J238</f>
        <v>500000000</v>
      </c>
      <c r="I27" s="736">
        <f>Gbg!K238</f>
        <v>500000000</v>
      </c>
      <c r="J27" s="319"/>
      <c r="K27" s="742"/>
      <c r="L27" s="504"/>
      <c r="O27" s="63"/>
    </row>
    <row r="28" spans="2:15" s="62" customFormat="1" ht="22.5" customHeight="1" thickBot="1" x14ac:dyDescent="0.3">
      <c r="B28" s="726"/>
      <c r="C28" s="1679" t="s">
        <v>461</v>
      </c>
      <c r="D28" s="1680"/>
      <c r="E28" s="1681" t="s">
        <v>387</v>
      </c>
      <c r="F28" s="1682"/>
      <c r="G28" s="1683"/>
      <c r="H28" s="743">
        <f>Gbg!J244</f>
        <v>300000000</v>
      </c>
      <c r="I28" s="744">
        <f>Gbg!K244</f>
        <v>300000000</v>
      </c>
      <c r="J28" s="319"/>
      <c r="K28" s="741"/>
      <c r="L28" s="504"/>
      <c r="O28" s="63"/>
    </row>
    <row r="29" spans="2:15" ht="1.5" customHeight="1" thickTop="1" x14ac:dyDescent="0.25"/>
  </sheetData>
  <mergeCells count="45">
    <mergeCell ref="I8:I9"/>
    <mergeCell ref="K8:K9"/>
    <mergeCell ref="C2:I2"/>
    <mergeCell ref="C3:J3"/>
    <mergeCell ref="C4:J4"/>
    <mergeCell ref="C6:D6"/>
    <mergeCell ref="E6:G6"/>
    <mergeCell ref="C8:E9"/>
    <mergeCell ref="F8:G9"/>
    <mergeCell ref="H8:H9"/>
    <mergeCell ref="C19:D19"/>
    <mergeCell ref="E19:G19"/>
    <mergeCell ref="C18:D18"/>
    <mergeCell ref="E18:G18"/>
    <mergeCell ref="E16:G16"/>
    <mergeCell ref="C16:D16"/>
    <mergeCell ref="C22:D22"/>
    <mergeCell ref="E22:G22"/>
    <mergeCell ref="C21:D21"/>
    <mergeCell ref="E21:G21"/>
    <mergeCell ref="C20:D20"/>
    <mergeCell ref="E20:G20"/>
    <mergeCell ref="C24:D24"/>
    <mergeCell ref="E24:G24"/>
    <mergeCell ref="C25:D25"/>
    <mergeCell ref="E25:G25"/>
    <mergeCell ref="C23:D23"/>
    <mergeCell ref="E23:G23"/>
    <mergeCell ref="C28:D28"/>
    <mergeCell ref="E28:G28"/>
    <mergeCell ref="C27:D27"/>
    <mergeCell ref="E27:G27"/>
    <mergeCell ref="C26:D26"/>
    <mergeCell ref="E26:G26"/>
    <mergeCell ref="C11:G11"/>
    <mergeCell ref="C17:G17"/>
    <mergeCell ref="C10:G10"/>
    <mergeCell ref="E13:G13"/>
    <mergeCell ref="E12:G12"/>
    <mergeCell ref="C12:D12"/>
    <mergeCell ref="C13:D13"/>
    <mergeCell ref="C14:D14"/>
    <mergeCell ref="C15:D15"/>
    <mergeCell ref="E15:G15"/>
    <mergeCell ref="E14:G14"/>
  </mergeCells>
  <printOptions horizontalCentered="1"/>
  <pageMargins left="0.43307086614173229" right="0.43307086614173229" top="0.59055118110236227" bottom="0.39370078740157483" header="0" footer="0"/>
  <pageSetup paperSize="9" scale="87" fitToHeight="0" orientation="portrait" useFirstPageNumber="1" r:id="rId1"/>
  <headerFooter>
    <oddFooter>&amp;L&amp;"Cambria,Italic"&amp;7&amp;K05-049&amp;F / &amp;A&amp;C&amp;"Cambria,Italic"&amp;7&amp;K04-021Hal &amp;P dari &amp;N&amp;R&amp;"-,Italic"&amp;7&amp;K09-022&amp;D /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H316"/>
  <sheetViews>
    <sheetView view="pageBreakPreview" zoomScale="70" zoomScaleNormal="100" zoomScaleSheetLayoutView="70" workbookViewId="0">
      <selection activeCell="B28" sqref="B28"/>
    </sheetView>
  </sheetViews>
  <sheetFormatPr defaultColWidth="9.140625" defaultRowHeight="15.75" x14ac:dyDescent="0.25"/>
  <cols>
    <col min="1" max="1" width="6.5703125" style="778" customWidth="1"/>
    <col min="2" max="2" width="56.140625" style="778" customWidth="1"/>
    <col min="3" max="3" width="25.85546875" style="779" customWidth="1"/>
    <col min="4" max="4" width="24" style="778" customWidth="1"/>
    <col min="5" max="5" width="20.85546875" style="778" customWidth="1"/>
    <col min="6" max="6" width="9.140625" style="778"/>
    <col min="7" max="7" width="19.5703125" style="778" customWidth="1"/>
    <col min="8" max="10" width="21.7109375" style="778" customWidth="1"/>
    <col min="11" max="11" width="27.28515625" style="778" customWidth="1"/>
    <col min="12" max="16384" width="9.140625" style="778"/>
  </cols>
  <sheetData>
    <row r="1" spans="1:5" ht="18" x14ac:dyDescent="0.25">
      <c r="A1" s="1701" t="s">
        <v>489</v>
      </c>
      <c r="B1" s="1701"/>
      <c r="C1" s="1701"/>
      <c r="D1" s="1701"/>
      <c r="E1" s="1701"/>
    </row>
    <row r="2" spans="1:5" ht="18" x14ac:dyDescent="0.25">
      <c r="A2" s="1701" t="s">
        <v>490</v>
      </c>
      <c r="B2" s="1701"/>
      <c r="C2" s="1701"/>
      <c r="D2" s="1701"/>
      <c r="E2" s="1701"/>
    </row>
    <row r="3" spans="1:5" ht="16.5" thickBot="1" x14ac:dyDescent="0.3"/>
    <row r="4" spans="1:5" ht="39" customHeight="1" thickTop="1" thickBot="1" x14ac:dyDescent="0.3">
      <c r="A4" s="780" t="s">
        <v>491</v>
      </c>
      <c r="B4" s="781" t="s">
        <v>492</v>
      </c>
      <c r="C4" s="781" t="s">
        <v>493</v>
      </c>
      <c r="D4" s="781" t="s">
        <v>494</v>
      </c>
      <c r="E4" s="782" t="s">
        <v>469</v>
      </c>
    </row>
    <row r="5" spans="1:5" s="788" customFormat="1" ht="21" customHeight="1" thickTop="1" x14ac:dyDescent="0.25">
      <c r="A5" s="783">
        <v>1</v>
      </c>
      <c r="B5" s="784" t="s">
        <v>132</v>
      </c>
      <c r="C5" s="785" t="s">
        <v>134</v>
      </c>
      <c r="D5" s="786">
        <v>1800000000</v>
      </c>
      <c r="E5" s="787"/>
    </row>
    <row r="6" spans="1:5" s="788" customFormat="1" ht="29.25" customHeight="1" x14ac:dyDescent="0.25">
      <c r="A6" s="789">
        <f>A5+1</f>
        <v>2</v>
      </c>
      <c r="B6" s="790" t="s">
        <v>138</v>
      </c>
      <c r="C6" s="791" t="s">
        <v>143</v>
      </c>
      <c r="D6" s="792">
        <v>500000000</v>
      </c>
      <c r="E6" s="793"/>
    </row>
    <row r="7" spans="1:5" s="788" customFormat="1" ht="33.75" customHeight="1" x14ac:dyDescent="0.25">
      <c r="A7" s="789">
        <f>A6+1</f>
        <v>3</v>
      </c>
      <c r="B7" s="790" t="s">
        <v>394</v>
      </c>
      <c r="C7" s="791" t="s">
        <v>151</v>
      </c>
      <c r="D7" s="792">
        <v>1000000000</v>
      </c>
      <c r="E7" s="793"/>
    </row>
    <row r="8" spans="1:5" s="788" customFormat="1" ht="29.25" customHeight="1" x14ac:dyDescent="0.25">
      <c r="A8" s="789">
        <f>A7+1</f>
        <v>4</v>
      </c>
      <c r="B8" s="790" t="s">
        <v>152</v>
      </c>
      <c r="C8" s="791" t="s">
        <v>151</v>
      </c>
      <c r="D8" s="792">
        <v>1000000000</v>
      </c>
      <c r="E8" s="793"/>
    </row>
    <row r="9" spans="1:5" s="788" customFormat="1" ht="21.75" customHeight="1" x14ac:dyDescent="0.25">
      <c r="A9" s="789">
        <f t="shared" ref="A9:A20" si="0">A8+1</f>
        <v>5</v>
      </c>
      <c r="B9" s="790" t="s">
        <v>152</v>
      </c>
      <c r="C9" s="791" t="s">
        <v>425</v>
      </c>
      <c r="D9" s="792">
        <v>2000000000</v>
      </c>
      <c r="E9" s="793"/>
    </row>
    <row r="10" spans="1:5" s="788" customFormat="1" ht="33.75" customHeight="1" x14ac:dyDescent="0.25">
      <c r="A10" s="789">
        <f t="shared" si="0"/>
        <v>6</v>
      </c>
      <c r="B10" s="790" t="s">
        <v>153</v>
      </c>
      <c r="C10" s="791" t="s">
        <v>154</v>
      </c>
      <c r="D10" s="792">
        <v>3200000000</v>
      </c>
      <c r="E10" s="793"/>
    </row>
    <row r="11" spans="1:5" s="788" customFormat="1" ht="24.75" customHeight="1" x14ac:dyDescent="0.25">
      <c r="A11" s="789">
        <f t="shared" si="0"/>
        <v>7</v>
      </c>
      <c r="B11" s="790" t="s">
        <v>162</v>
      </c>
      <c r="C11" s="791" t="s">
        <v>166</v>
      </c>
      <c r="D11" s="792">
        <v>450000000</v>
      </c>
      <c r="E11" s="793"/>
    </row>
    <row r="12" spans="1:5" s="788" customFormat="1" ht="33.75" customHeight="1" x14ac:dyDescent="0.25">
      <c r="A12" s="789">
        <f t="shared" si="0"/>
        <v>8</v>
      </c>
      <c r="B12" s="790" t="s">
        <v>170</v>
      </c>
      <c r="C12" s="791" t="s">
        <v>134</v>
      </c>
      <c r="D12" s="792">
        <v>850000000</v>
      </c>
      <c r="E12" s="793"/>
    </row>
    <row r="13" spans="1:5" s="788" customFormat="1" ht="33.75" customHeight="1" x14ac:dyDescent="0.25">
      <c r="A13" s="789">
        <f t="shared" si="0"/>
        <v>9</v>
      </c>
      <c r="B13" s="790" t="s">
        <v>150</v>
      </c>
      <c r="C13" s="791" t="s">
        <v>171</v>
      </c>
      <c r="D13" s="792">
        <v>215000000</v>
      </c>
      <c r="E13" s="793"/>
    </row>
    <row r="14" spans="1:5" s="788" customFormat="1" ht="33.75" customHeight="1" x14ac:dyDescent="0.25">
      <c r="A14" s="789">
        <f t="shared" si="0"/>
        <v>10</v>
      </c>
      <c r="B14" s="790" t="s">
        <v>495</v>
      </c>
      <c r="C14" s="794" t="s">
        <v>184</v>
      </c>
      <c r="D14" s="792">
        <v>4000000000</v>
      </c>
      <c r="E14" s="793"/>
    </row>
    <row r="15" spans="1:5" s="788" customFormat="1" ht="33.75" customHeight="1" x14ac:dyDescent="0.25">
      <c r="A15" s="789">
        <f t="shared" si="0"/>
        <v>11</v>
      </c>
      <c r="B15" s="790" t="s">
        <v>495</v>
      </c>
      <c r="C15" s="791" t="s">
        <v>185</v>
      </c>
      <c r="D15" s="792">
        <v>1200000000</v>
      </c>
      <c r="E15" s="793"/>
    </row>
    <row r="16" spans="1:5" s="788" customFormat="1" ht="21.75" customHeight="1" x14ac:dyDescent="0.25">
      <c r="A16" s="789">
        <f t="shared" si="0"/>
        <v>12</v>
      </c>
      <c r="B16" s="795" t="s">
        <v>188</v>
      </c>
      <c r="C16" s="791" t="s">
        <v>421</v>
      </c>
      <c r="D16" s="792">
        <v>1000000000</v>
      </c>
      <c r="E16" s="793"/>
    </row>
    <row r="17" spans="1:7" s="788" customFormat="1" ht="21.75" customHeight="1" x14ac:dyDescent="0.25">
      <c r="A17" s="789">
        <f t="shared" si="0"/>
        <v>13</v>
      </c>
      <c r="B17" s="790" t="s">
        <v>188</v>
      </c>
      <c r="C17" s="794" t="s">
        <v>422</v>
      </c>
      <c r="D17" s="792">
        <v>1000000000</v>
      </c>
      <c r="E17" s="793"/>
    </row>
    <row r="18" spans="1:7" s="788" customFormat="1" ht="46.5" customHeight="1" x14ac:dyDescent="0.25">
      <c r="A18" s="789">
        <f t="shared" si="0"/>
        <v>14</v>
      </c>
      <c r="B18" s="790" t="s">
        <v>337</v>
      </c>
      <c r="C18" s="794" t="s">
        <v>338</v>
      </c>
      <c r="D18" s="792">
        <v>200000000</v>
      </c>
      <c r="E18" s="793"/>
    </row>
    <row r="19" spans="1:7" s="788" customFormat="1" ht="33.75" customHeight="1" x14ac:dyDescent="0.25">
      <c r="A19" s="789">
        <f t="shared" si="0"/>
        <v>15</v>
      </c>
      <c r="B19" s="790" t="s">
        <v>200</v>
      </c>
      <c r="C19" s="794" t="s">
        <v>420</v>
      </c>
      <c r="D19" s="792">
        <v>1000000000</v>
      </c>
      <c r="E19" s="793"/>
    </row>
    <row r="20" spans="1:7" s="788" customFormat="1" ht="33.75" customHeight="1" x14ac:dyDescent="0.25">
      <c r="A20" s="789">
        <f t="shared" si="0"/>
        <v>16</v>
      </c>
      <c r="B20" s="790" t="s">
        <v>486</v>
      </c>
      <c r="C20" s="794" t="s">
        <v>428</v>
      </c>
      <c r="D20" s="792">
        <v>500000000</v>
      </c>
      <c r="E20" s="793"/>
    </row>
    <row r="21" spans="1:7" s="788" customFormat="1" ht="8.25" customHeight="1" thickBot="1" x14ac:dyDescent="0.3">
      <c r="A21" s="1702"/>
      <c r="B21" s="1703"/>
      <c r="C21" s="1703"/>
      <c r="D21" s="1703"/>
      <c r="E21" s="1704"/>
    </row>
    <row r="22" spans="1:7" s="788" customFormat="1" ht="33" customHeight="1" thickTop="1" thickBot="1" x14ac:dyDescent="0.3">
      <c r="A22" s="1705" t="s">
        <v>4</v>
      </c>
      <c r="B22" s="1706"/>
      <c r="C22" s="1707"/>
      <c r="D22" s="796">
        <f>SUM(D5:D20)</f>
        <v>19915000000</v>
      </c>
      <c r="E22" s="797"/>
      <c r="G22" s="798"/>
    </row>
    <row r="23" spans="1:7" s="788" customFormat="1" ht="16.5" thickTop="1" x14ac:dyDescent="0.25">
      <c r="A23" s="799"/>
      <c r="C23" s="800"/>
      <c r="D23" s="801"/>
    </row>
    <row r="24" spans="1:7" s="788" customFormat="1" x14ac:dyDescent="0.25">
      <c r="A24" s="799"/>
      <c r="C24" s="800"/>
      <c r="D24" s="801"/>
    </row>
    <row r="25" spans="1:7" s="788" customFormat="1" x14ac:dyDescent="0.25">
      <c r="A25" s="799"/>
      <c r="C25" s="800"/>
      <c r="D25" s="801"/>
    </row>
    <row r="26" spans="1:7" s="788" customFormat="1" x14ac:dyDescent="0.25">
      <c r="A26" s="799"/>
      <c r="C26" s="800"/>
      <c r="D26" s="801"/>
    </row>
    <row r="27" spans="1:7" s="788" customFormat="1" x14ac:dyDescent="0.25">
      <c r="A27" s="799"/>
      <c r="C27" s="800"/>
      <c r="D27" s="801"/>
    </row>
    <row r="28" spans="1:7" s="788" customFormat="1" x14ac:dyDescent="0.25">
      <c r="A28" s="799"/>
      <c r="C28" s="800"/>
      <c r="D28" s="801"/>
    </row>
    <row r="29" spans="1:7" s="788" customFormat="1" x14ac:dyDescent="0.25">
      <c r="A29" s="799"/>
      <c r="C29" s="800"/>
      <c r="D29" s="801"/>
    </row>
    <row r="30" spans="1:7" s="788" customFormat="1" x14ac:dyDescent="0.25">
      <c r="A30" s="799"/>
      <c r="C30" s="800"/>
      <c r="D30" s="801"/>
    </row>
    <row r="31" spans="1:7" s="788" customFormat="1" x14ac:dyDescent="0.25">
      <c r="A31" s="799"/>
      <c r="C31" s="800"/>
      <c r="D31" s="801"/>
    </row>
    <row r="32" spans="1:7" s="788" customFormat="1" x14ac:dyDescent="0.25">
      <c r="A32" s="799"/>
      <c r="C32" s="800"/>
      <c r="D32" s="801"/>
    </row>
    <row r="33" spans="1:8" s="788" customFormat="1" x14ac:dyDescent="0.25">
      <c r="A33" s="799"/>
      <c r="C33" s="800"/>
      <c r="D33" s="801"/>
    </row>
    <row r="34" spans="1:8" s="788" customFormat="1" x14ac:dyDescent="0.25">
      <c r="A34" s="799"/>
      <c r="C34" s="800"/>
      <c r="D34" s="801"/>
    </row>
    <row r="35" spans="1:8" s="779" customFormat="1" x14ac:dyDescent="0.25">
      <c r="A35" s="802"/>
      <c r="B35" s="778"/>
      <c r="D35" s="803"/>
      <c r="E35" s="778"/>
      <c r="F35" s="778"/>
      <c r="G35" s="778"/>
      <c r="H35" s="778"/>
    </row>
    <row r="36" spans="1:8" s="779" customFormat="1" x14ac:dyDescent="0.25">
      <c r="A36" s="802"/>
      <c r="B36" s="778"/>
      <c r="D36" s="803"/>
      <c r="E36" s="778"/>
      <c r="F36" s="778"/>
      <c r="G36" s="778"/>
      <c r="H36" s="778"/>
    </row>
    <row r="37" spans="1:8" s="779" customFormat="1" x14ac:dyDescent="0.25">
      <c r="A37" s="778"/>
      <c r="B37" s="778"/>
      <c r="D37" s="803"/>
      <c r="E37" s="778"/>
      <c r="F37" s="778"/>
      <c r="G37" s="778"/>
      <c r="H37" s="778"/>
    </row>
    <row r="38" spans="1:8" s="779" customFormat="1" x14ac:dyDescent="0.25">
      <c r="A38" s="778"/>
      <c r="B38" s="778"/>
      <c r="D38" s="803"/>
      <c r="E38" s="778"/>
      <c r="F38" s="778"/>
      <c r="G38" s="778"/>
      <c r="H38" s="778"/>
    </row>
    <row r="39" spans="1:8" s="779" customFormat="1" x14ac:dyDescent="0.25">
      <c r="A39" s="778"/>
      <c r="B39" s="778"/>
      <c r="D39" s="803"/>
      <c r="E39" s="778"/>
      <c r="F39" s="778"/>
      <c r="G39" s="778"/>
      <c r="H39" s="778"/>
    </row>
    <row r="40" spans="1:8" s="779" customFormat="1" x14ac:dyDescent="0.25">
      <c r="A40" s="778"/>
      <c r="B40" s="778"/>
      <c r="D40" s="803"/>
      <c r="E40" s="778"/>
      <c r="F40" s="778"/>
      <c r="G40" s="778"/>
      <c r="H40" s="778"/>
    </row>
    <row r="41" spans="1:8" s="779" customFormat="1" x14ac:dyDescent="0.25">
      <c r="A41" s="778"/>
      <c r="B41" s="778"/>
      <c r="D41" s="803"/>
      <c r="E41" s="778"/>
      <c r="F41" s="778"/>
      <c r="G41" s="778"/>
      <c r="H41" s="778"/>
    </row>
    <row r="42" spans="1:8" s="779" customFormat="1" x14ac:dyDescent="0.25">
      <c r="A42" s="778"/>
      <c r="B42" s="778"/>
      <c r="D42" s="803"/>
      <c r="E42" s="778"/>
      <c r="F42" s="778"/>
      <c r="G42" s="778"/>
      <c r="H42" s="778"/>
    </row>
    <row r="43" spans="1:8" s="779" customFormat="1" x14ac:dyDescent="0.25">
      <c r="A43" s="778"/>
      <c r="B43" s="778"/>
      <c r="D43" s="803"/>
      <c r="E43" s="778"/>
      <c r="F43" s="778"/>
      <c r="G43" s="778"/>
      <c r="H43" s="778"/>
    </row>
    <row r="44" spans="1:8" s="779" customFormat="1" x14ac:dyDescent="0.25">
      <c r="A44" s="778"/>
      <c r="B44" s="778"/>
      <c r="D44" s="803"/>
      <c r="E44" s="778"/>
      <c r="F44" s="778"/>
      <c r="G44" s="778"/>
      <c r="H44" s="778"/>
    </row>
    <row r="45" spans="1:8" s="779" customFormat="1" x14ac:dyDescent="0.25">
      <c r="A45" s="778"/>
      <c r="B45" s="778"/>
      <c r="D45" s="803"/>
      <c r="E45" s="778"/>
      <c r="F45" s="778"/>
      <c r="G45" s="778"/>
      <c r="H45" s="778"/>
    </row>
    <row r="46" spans="1:8" s="779" customFormat="1" x14ac:dyDescent="0.25">
      <c r="A46" s="778"/>
      <c r="B46" s="778"/>
      <c r="D46" s="803"/>
      <c r="E46" s="778"/>
      <c r="F46" s="778"/>
      <c r="G46" s="778"/>
      <c r="H46" s="778"/>
    </row>
    <row r="47" spans="1:8" s="779" customFormat="1" x14ac:dyDescent="0.25">
      <c r="A47" s="778"/>
      <c r="B47" s="778"/>
      <c r="D47" s="803"/>
      <c r="E47" s="778"/>
      <c r="F47" s="778"/>
      <c r="G47" s="778"/>
      <c r="H47" s="778"/>
    </row>
    <row r="48" spans="1:8" s="779" customFormat="1" x14ac:dyDescent="0.25">
      <c r="A48" s="778"/>
      <c r="B48" s="778"/>
      <c r="D48" s="803"/>
      <c r="E48" s="778"/>
      <c r="F48" s="778"/>
      <c r="G48" s="778"/>
      <c r="H48" s="778"/>
    </row>
    <row r="49" spans="1:8" s="779" customFormat="1" x14ac:dyDescent="0.25">
      <c r="A49" s="778"/>
      <c r="B49" s="778"/>
      <c r="D49" s="803"/>
      <c r="E49" s="778"/>
      <c r="F49" s="778"/>
      <c r="G49" s="778"/>
      <c r="H49" s="778"/>
    </row>
    <row r="50" spans="1:8" s="779" customFormat="1" x14ac:dyDescent="0.25">
      <c r="A50" s="778"/>
      <c r="B50" s="778"/>
      <c r="D50" s="803"/>
      <c r="E50" s="778"/>
      <c r="F50" s="778"/>
      <c r="G50" s="778"/>
      <c r="H50" s="778"/>
    </row>
    <row r="51" spans="1:8" s="779" customFormat="1" x14ac:dyDescent="0.25">
      <c r="A51" s="778"/>
      <c r="B51" s="778"/>
      <c r="D51" s="803"/>
      <c r="E51" s="778"/>
      <c r="F51" s="778"/>
      <c r="G51" s="778"/>
      <c r="H51" s="778"/>
    </row>
    <row r="52" spans="1:8" s="779" customFormat="1" x14ac:dyDescent="0.25">
      <c r="A52" s="778"/>
      <c r="B52" s="778"/>
      <c r="D52" s="803"/>
      <c r="E52" s="778"/>
      <c r="F52" s="778"/>
      <c r="G52" s="778"/>
      <c r="H52" s="778"/>
    </row>
    <row r="53" spans="1:8" s="779" customFormat="1" x14ac:dyDescent="0.25">
      <c r="A53" s="778"/>
      <c r="B53" s="778"/>
      <c r="D53" s="803"/>
      <c r="E53" s="778"/>
      <c r="F53" s="778"/>
      <c r="G53" s="778"/>
      <c r="H53" s="778"/>
    </row>
    <row r="54" spans="1:8" s="779" customFormat="1" x14ac:dyDescent="0.25">
      <c r="A54" s="778"/>
      <c r="B54" s="778"/>
      <c r="D54" s="803"/>
      <c r="E54" s="778"/>
      <c r="F54" s="778"/>
      <c r="G54" s="778"/>
      <c r="H54" s="778"/>
    </row>
    <row r="55" spans="1:8" s="779" customFormat="1" x14ac:dyDescent="0.25">
      <c r="A55" s="778"/>
      <c r="B55" s="778"/>
      <c r="D55" s="803"/>
      <c r="E55" s="778"/>
      <c r="F55" s="778"/>
      <c r="G55" s="778"/>
      <c r="H55" s="778"/>
    </row>
    <row r="56" spans="1:8" s="779" customFormat="1" x14ac:dyDescent="0.25">
      <c r="A56" s="778"/>
      <c r="B56" s="778"/>
      <c r="D56" s="803"/>
      <c r="E56" s="778"/>
      <c r="F56" s="778"/>
      <c r="G56" s="778"/>
      <c r="H56" s="778"/>
    </row>
    <row r="57" spans="1:8" s="779" customFormat="1" x14ac:dyDescent="0.25">
      <c r="A57" s="778"/>
      <c r="B57" s="778"/>
      <c r="D57" s="803"/>
      <c r="E57" s="778"/>
      <c r="F57" s="778"/>
      <c r="G57" s="778"/>
      <c r="H57" s="778"/>
    </row>
    <row r="58" spans="1:8" s="779" customFormat="1" x14ac:dyDescent="0.25">
      <c r="A58" s="778"/>
      <c r="B58" s="778"/>
      <c r="D58" s="803"/>
      <c r="E58" s="778"/>
      <c r="F58" s="778"/>
      <c r="G58" s="778"/>
      <c r="H58" s="778"/>
    </row>
    <row r="59" spans="1:8" s="779" customFormat="1" x14ac:dyDescent="0.25">
      <c r="A59" s="778"/>
      <c r="B59" s="778"/>
      <c r="D59" s="803"/>
      <c r="E59" s="778"/>
      <c r="F59" s="778"/>
      <c r="G59" s="778"/>
      <c r="H59" s="778"/>
    </row>
    <row r="60" spans="1:8" s="779" customFormat="1" x14ac:dyDescent="0.25">
      <c r="A60" s="778"/>
      <c r="B60" s="778"/>
      <c r="D60" s="803"/>
      <c r="E60" s="778"/>
      <c r="F60" s="778"/>
      <c r="G60" s="778"/>
      <c r="H60" s="778"/>
    </row>
    <row r="61" spans="1:8" s="779" customFormat="1" x14ac:dyDescent="0.25">
      <c r="A61" s="778"/>
      <c r="B61" s="778"/>
      <c r="D61" s="803"/>
      <c r="E61" s="778"/>
      <c r="F61" s="778"/>
      <c r="G61" s="778"/>
      <c r="H61" s="778"/>
    </row>
    <row r="62" spans="1:8" s="779" customFormat="1" x14ac:dyDescent="0.25">
      <c r="A62" s="778"/>
      <c r="B62" s="778"/>
      <c r="D62" s="803"/>
      <c r="E62" s="778"/>
      <c r="F62" s="778"/>
      <c r="G62" s="778"/>
      <c r="H62" s="778"/>
    </row>
    <row r="63" spans="1:8" s="779" customFormat="1" x14ac:dyDescent="0.25">
      <c r="A63" s="778"/>
      <c r="B63" s="778"/>
      <c r="D63" s="803"/>
      <c r="E63" s="778"/>
      <c r="F63" s="778"/>
      <c r="G63" s="778"/>
      <c r="H63" s="778"/>
    </row>
    <row r="64" spans="1:8" s="779" customFormat="1" x14ac:dyDescent="0.25">
      <c r="A64" s="778"/>
      <c r="B64" s="778"/>
      <c r="D64" s="803"/>
      <c r="E64" s="778"/>
      <c r="F64" s="778"/>
      <c r="G64" s="778"/>
      <c r="H64" s="778"/>
    </row>
    <row r="65" spans="1:8" s="779" customFormat="1" x14ac:dyDescent="0.25">
      <c r="A65" s="778"/>
      <c r="B65" s="778"/>
      <c r="D65" s="803"/>
      <c r="E65" s="778"/>
      <c r="F65" s="778"/>
      <c r="G65" s="778"/>
      <c r="H65" s="778"/>
    </row>
    <row r="66" spans="1:8" s="779" customFormat="1" x14ac:dyDescent="0.25">
      <c r="A66" s="778"/>
      <c r="B66" s="778"/>
      <c r="D66" s="803"/>
      <c r="E66" s="778"/>
      <c r="F66" s="778"/>
      <c r="G66" s="778"/>
      <c r="H66" s="778"/>
    </row>
    <row r="67" spans="1:8" s="779" customFormat="1" x14ac:dyDescent="0.25">
      <c r="A67" s="778"/>
      <c r="B67" s="778"/>
      <c r="D67" s="803"/>
      <c r="E67" s="778"/>
      <c r="F67" s="778"/>
      <c r="G67" s="778"/>
      <c r="H67" s="778"/>
    </row>
    <row r="68" spans="1:8" s="779" customFormat="1" x14ac:dyDescent="0.25">
      <c r="A68" s="778"/>
      <c r="B68" s="778"/>
      <c r="D68" s="803"/>
      <c r="E68" s="778"/>
      <c r="F68" s="778"/>
      <c r="G68" s="778"/>
      <c r="H68" s="778"/>
    </row>
    <row r="69" spans="1:8" s="779" customFormat="1" x14ac:dyDescent="0.25">
      <c r="A69" s="778"/>
      <c r="B69" s="778"/>
      <c r="D69" s="803"/>
      <c r="E69" s="778"/>
      <c r="F69" s="778"/>
      <c r="G69" s="778"/>
      <c r="H69" s="778"/>
    </row>
    <row r="70" spans="1:8" s="779" customFormat="1" x14ac:dyDescent="0.25">
      <c r="A70" s="778"/>
      <c r="B70" s="778"/>
      <c r="D70" s="803"/>
      <c r="E70" s="778"/>
      <c r="F70" s="778"/>
      <c r="G70" s="778"/>
      <c r="H70" s="778"/>
    </row>
    <row r="71" spans="1:8" s="779" customFormat="1" x14ac:dyDescent="0.25">
      <c r="A71" s="778"/>
      <c r="B71" s="778"/>
      <c r="D71" s="803"/>
      <c r="E71" s="778"/>
      <c r="F71" s="778"/>
      <c r="G71" s="778"/>
      <c r="H71" s="778"/>
    </row>
    <row r="72" spans="1:8" s="779" customFormat="1" x14ac:dyDescent="0.25">
      <c r="A72" s="778"/>
      <c r="B72" s="778"/>
      <c r="D72" s="803"/>
      <c r="E72" s="778"/>
      <c r="F72" s="778"/>
      <c r="G72" s="778"/>
      <c r="H72" s="778"/>
    </row>
    <row r="73" spans="1:8" s="779" customFormat="1" x14ac:dyDescent="0.25">
      <c r="A73" s="778"/>
      <c r="B73" s="778"/>
      <c r="D73" s="803"/>
      <c r="E73" s="778"/>
      <c r="F73" s="778"/>
      <c r="G73" s="778"/>
      <c r="H73" s="778"/>
    </row>
    <row r="74" spans="1:8" s="779" customFormat="1" x14ac:dyDescent="0.25">
      <c r="A74" s="778"/>
      <c r="B74" s="778"/>
      <c r="D74" s="803"/>
      <c r="E74" s="778"/>
      <c r="F74" s="778"/>
      <c r="G74" s="778"/>
      <c r="H74" s="778"/>
    </row>
    <row r="75" spans="1:8" s="779" customFormat="1" x14ac:dyDescent="0.25">
      <c r="A75" s="778"/>
      <c r="B75" s="778"/>
      <c r="D75" s="803"/>
      <c r="E75" s="778"/>
      <c r="F75" s="778"/>
      <c r="G75" s="778"/>
      <c r="H75" s="778"/>
    </row>
    <row r="76" spans="1:8" s="779" customFormat="1" x14ac:dyDescent="0.25">
      <c r="A76" s="778"/>
      <c r="B76" s="778"/>
      <c r="D76" s="803"/>
      <c r="E76" s="778"/>
      <c r="F76" s="778"/>
      <c r="G76" s="778"/>
      <c r="H76" s="778"/>
    </row>
    <row r="77" spans="1:8" s="779" customFormat="1" x14ac:dyDescent="0.25">
      <c r="A77" s="778"/>
      <c r="B77" s="778"/>
      <c r="D77" s="803"/>
      <c r="E77" s="778"/>
      <c r="F77" s="778"/>
      <c r="G77" s="778"/>
      <c r="H77" s="778"/>
    </row>
    <row r="78" spans="1:8" s="779" customFormat="1" x14ac:dyDescent="0.25">
      <c r="A78" s="778"/>
      <c r="B78" s="778"/>
      <c r="D78" s="803"/>
      <c r="E78" s="778"/>
      <c r="F78" s="778"/>
      <c r="G78" s="778"/>
      <c r="H78" s="778"/>
    </row>
    <row r="79" spans="1:8" s="779" customFormat="1" x14ac:dyDescent="0.25">
      <c r="A79" s="778"/>
      <c r="B79" s="778"/>
      <c r="D79" s="803"/>
      <c r="E79" s="778"/>
      <c r="F79" s="778"/>
      <c r="G79" s="778"/>
      <c r="H79" s="778"/>
    </row>
    <row r="80" spans="1:8" s="779" customFormat="1" x14ac:dyDescent="0.25">
      <c r="A80" s="778"/>
      <c r="B80" s="778"/>
      <c r="D80" s="803"/>
      <c r="E80" s="778"/>
      <c r="F80" s="778"/>
      <c r="G80" s="778"/>
      <c r="H80" s="778"/>
    </row>
    <row r="81" spans="1:8" s="779" customFormat="1" x14ac:dyDescent="0.25">
      <c r="A81" s="778"/>
      <c r="B81" s="778"/>
      <c r="D81" s="803"/>
      <c r="E81" s="778"/>
      <c r="F81" s="778"/>
      <c r="G81" s="778"/>
      <c r="H81" s="778"/>
    </row>
    <row r="82" spans="1:8" s="779" customFormat="1" x14ac:dyDescent="0.25">
      <c r="A82" s="778"/>
      <c r="B82" s="778"/>
      <c r="D82" s="803"/>
      <c r="E82" s="778"/>
      <c r="F82" s="778"/>
      <c r="G82" s="778"/>
      <c r="H82" s="778"/>
    </row>
    <row r="83" spans="1:8" s="779" customFormat="1" x14ac:dyDescent="0.25">
      <c r="A83" s="778"/>
      <c r="B83" s="778"/>
      <c r="D83" s="803"/>
      <c r="E83" s="778"/>
      <c r="F83" s="778"/>
      <c r="G83" s="778"/>
      <c r="H83" s="778"/>
    </row>
    <row r="84" spans="1:8" s="779" customFormat="1" x14ac:dyDescent="0.25">
      <c r="A84" s="778"/>
      <c r="B84" s="778"/>
      <c r="D84" s="803"/>
      <c r="E84" s="778"/>
      <c r="F84" s="778"/>
      <c r="G84" s="778"/>
      <c r="H84" s="778"/>
    </row>
    <row r="85" spans="1:8" s="779" customFormat="1" x14ac:dyDescent="0.25">
      <c r="A85" s="778"/>
      <c r="B85" s="778"/>
      <c r="D85" s="803"/>
      <c r="E85" s="778"/>
      <c r="F85" s="778"/>
      <c r="G85" s="778"/>
      <c r="H85" s="778"/>
    </row>
    <row r="86" spans="1:8" s="779" customFormat="1" x14ac:dyDescent="0.25">
      <c r="A86" s="778"/>
      <c r="B86" s="778"/>
      <c r="D86" s="803"/>
      <c r="E86" s="778"/>
      <c r="F86" s="778"/>
      <c r="G86" s="778"/>
      <c r="H86" s="778"/>
    </row>
    <row r="87" spans="1:8" s="779" customFormat="1" x14ac:dyDescent="0.25">
      <c r="A87" s="778"/>
      <c r="B87" s="778"/>
      <c r="D87" s="803"/>
      <c r="E87" s="778"/>
      <c r="F87" s="778"/>
      <c r="G87" s="778"/>
      <c r="H87" s="778"/>
    </row>
    <row r="88" spans="1:8" s="779" customFormat="1" x14ac:dyDescent="0.25">
      <c r="A88" s="778"/>
      <c r="B88" s="778"/>
      <c r="D88" s="803"/>
      <c r="E88" s="778"/>
      <c r="F88" s="778"/>
      <c r="G88" s="778"/>
      <c r="H88" s="778"/>
    </row>
    <row r="89" spans="1:8" s="779" customFormat="1" x14ac:dyDescent="0.25">
      <c r="A89" s="778"/>
      <c r="B89" s="778"/>
      <c r="D89" s="803"/>
      <c r="E89" s="778"/>
      <c r="F89" s="778"/>
      <c r="G89" s="778"/>
      <c r="H89" s="778"/>
    </row>
    <row r="90" spans="1:8" s="779" customFormat="1" x14ac:dyDescent="0.25">
      <c r="A90" s="778"/>
      <c r="B90" s="778"/>
      <c r="D90" s="803"/>
      <c r="E90" s="778"/>
      <c r="F90" s="778"/>
      <c r="G90" s="778"/>
      <c r="H90" s="778"/>
    </row>
    <row r="91" spans="1:8" s="779" customFormat="1" x14ac:dyDescent="0.25">
      <c r="A91" s="778"/>
      <c r="B91" s="778"/>
      <c r="D91" s="803"/>
      <c r="E91" s="778"/>
      <c r="F91" s="778"/>
      <c r="G91" s="778"/>
      <c r="H91" s="778"/>
    </row>
    <row r="92" spans="1:8" s="779" customFormat="1" x14ac:dyDescent="0.25">
      <c r="A92" s="778"/>
      <c r="B92" s="778"/>
      <c r="D92" s="803"/>
      <c r="E92" s="778"/>
      <c r="F92" s="778"/>
      <c r="G92" s="778"/>
      <c r="H92" s="778"/>
    </row>
    <row r="93" spans="1:8" s="779" customFormat="1" x14ac:dyDescent="0.25">
      <c r="A93" s="778"/>
      <c r="B93" s="778"/>
      <c r="D93" s="803"/>
      <c r="E93" s="778"/>
      <c r="F93" s="778"/>
      <c r="G93" s="778"/>
      <c r="H93" s="778"/>
    </row>
    <row r="94" spans="1:8" s="779" customFormat="1" x14ac:dyDescent="0.25">
      <c r="A94" s="778"/>
      <c r="B94" s="778"/>
      <c r="D94" s="803"/>
      <c r="E94" s="778"/>
      <c r="F94" s="778"/>
      <c r="G94" s="778"/>
      <c r="H94" s="778"/>
    </row>
    <row r="95" spans="1:8" s="779" customFormat="1" x14ac:dyDescent="0.25">
      <c r="A95" s="778"/>
      <c r="B95" s="778"/>
      <c r="D95" s="803"/>
      <c r="E95" s="778"/>
      <c r="F95" s="778"/>
      <c r="G95" s="778"/>
      <c r="H95" s="778"/>
    </row>
    <row r="96" spans="1:8" s="779" customFormat="1" x14ac:dyDescent="0.25">
      <c r="A96" s="778"/>
      <c r="B96" s="778"/>
      <c r="D96" s="803"/>
      <c r="E96" s="778"/>
      <c r="F96" s="778"/>
      <c r="G96" s="778"/>
      <c r="H96" s="778"/>
    </row>
    <row r="97" spans="1:8" s="779" customFormat="1" x14ac:dyDescent="0.25">
      <c r="A97" s="778"/>
      <c r="B97" s="778"/>
      <c r="D97" s="803"/>
      <c r="E97" s="778"/>
      <c r="F97" s="778"/>
      <c r="G97" s="778"/>
      <c r="H97" s="778"/>
    </row>
    <row r="98" spans="1:8" s="779" customFormat="1" x14ac:dyDescent="0.25">
      <c r="A98" s="778"/>
      <c r="B98" s="778"/>
      <c r="D98" s="803"/>
      <c r="E98" s="778"/>
      <c r="F98" s="778"/>
      <c r="G98" s="778"/>
      <c r="H98" s="778"/>
    </row>
    <row r="99" spans="1:8" s="779" customFormat="1" x14ac:dyDescent="0.25">
      <c r="A99" s="778"/>
      <c r="B99" s="778"/>
      <c r="D99" s="803"/>
      <c r="E99" s="778"/>
      <c r="F99" s="778"/>
      <c r="G99" s="778"/>
      <c r="H99" s="778"/>
    </row>
    <row r="100" spans="1:8" s="779" customFormat="1" x14ac:dyDescent="0.25">
      <c r="A100" s="778"/>
      <c r="B100" s="778"/>
      <c r="D100" s="803"/>
      <c r="E100" s="778"/>
      <c r="F100" s="778"/>
      <c r="G100" s="778"/>
      <c r="H100" s="778"/>
    </row>
    <row r="101" spans="1:8" s="779" customFormat="1" x14ac:dyDescent="0.25">
      <c r="A101" s="778"/>
      <c r="B101" s="778"/>
      <c r="D101" s="803"/>
      <c r="E101" s="778"/>
      <c r="F101" s="778"/>
      <c r="G101" s="778"/>
      <c r="H101" s="778"/>
    </row>
    <row r="102" spans="1:8" s="779" customFormat="1" x14ac:dyDescent="0.25">
      <c r="A102" s="778"/>
      <c r="B102" s="778"/>
      <c r="D102" s="803"/>
      <c r="E102" s="778"/>
      <c r="F102" s="778"/>
      <c r="G102" s="778"/>
      <c r="H102" s="778"/>
    </row>
    <row r="103" spans="1:8" s="779" customFormat="1" x14ac:dyDescent="0.25">
      <c r="A103" s="778"/>
      <c r="B103" s="778"/>
      <c r="D103" s="803"/>
      <c r="E103" s="778"/>
      <c r="F103" s="778"/>
      <c r="G103" s="778"/>
      <c r="H103" s="778"/>
    </row>
    <row r="104" spans="1:8" s="779" customFormat="1" x14ac:dyDescent="0.25">
      <c r="A104" s="778"/>
      <c r="B104" s="778"/>
      <c r="D104" s="803"/>
      <c r="E104" s="778"/>
      <c r="F104" s="778"/>
      <c r="G104" s="778"/>
      <c r="H104" s="778"/>
    </row>
    <row r="105" spans="1:8" s="779" customFormat="1" x14ac:dyDescent="0.25">
      <c r="A105" s="778"/>
      <c r="B105" s="778"/>
      <c r="D105" s="803"/>
      <c r="E105" s="778"/>
      <c r="F105" s="778"/>
      <c r="G105" s="778"/>
      <c r="H105" s="778"/>
    </row>
    <row r="106" spans="1:8" s="779" customFormat="1" x14ac:dyDescent="0.25">
      <c r="A106" s="778"/>
      <c r="B106" s="778"/>
      <c r="D106" s="803"/>
      <c r="E106" s="778"/>
      <c r="F106" s="778"/>
      <c r="G106" s="778"/>
      <c r="H106" s="778"/>
    </row>
    <row r="107" spans="1:8" s="779" customFormat="1" x14ac:dyDescent="0.25">
      <c r="A107" s="778"/>
      <c r="B107" s="778"/>
      <c r="D107" s="803"/>
      <c r="E107" s="778"/>
      <c r="F107" s="778"/>
      <c r="G107" s="778"/>
      <c r="H107" s="778"/>
    </row>
    <row r="108" spans="1:8" s="779" customFormat="1" x14ac:dyDescent="0.25">
      <c r="A108" s="778"/>
      <c r="B108" s="778"/>
      <c r="D108" s="803"/>
      <c r="E108" s="778"/>
      <c r="F108" s="778"/>
      <c r="G108" s="778"/>
      <c r="H108" s="778"/>
    </row>
    <row r="109" spans="1:8" s="779" customFormat="1" x14ac:dyDescent="0.25">
      <c r="A109" s="778"/>
      <c r="B109" s="778"/>
      <c r="D109" s="803"/>
      <c r="E109" s="778"/>
      <c r="F109" s="778"/>
      <c r="G109" s="778"/>
      <c r="H109" s="778"/>
    </row>
    <row r="110" spans="1:8" s="779" customFormat="1" x14ac:dyDescent="0.25">
      <c r="A110" s="778"/>
      <c r="B110" s="778"/>
      <c r="D110" s="803"/>
      <c r="E110" s="778"/>
      <c r="F110" s="778"/>
      <c r="G110" s="778"/>
      <c r="H110" s="778"/>
    </row>
    <row r="111" spans="1:8" s="779" customFormat="1" x14ac:dyDescent="0.25">
      <c r="A111" s="778"/>
      <c r="B111" s="778"/>
      <c r="D111" s="803"/>
      <c r="E111" s="778"/>
      <c r="F111" s="778"/>
      <c r="G111" s="778"/>
      <c r="H111" s="778"/>
    </row>
    <row r="112" spans="1:8" s="779" customFormat="1" x14ac:dyDescent="0.25">
      <c r="A112" s="778"/>
      <c r="B112" s="778"/>
      <c r="D112" s="803"/>
      <c r="E112" s="778"/>
      <c r="F112" s="778"/>
      <c r="G112" s="778"/>
      <c r="H112" s="778"/>
    </row>
    <row r="113" spans="1:8" s="779" customFormat="1" x14ac:dyDescent="0.25">
      <c r="A113" s="778"/>
      <c r="B113" s="778"/>
      <c r="D113" s="803"/>
      <c r="E113" s="778"/>
      <c r="F113" s="778"/>
      <c r="G113" s="778"/>
      <c r="H113" s="778"/>
    </row>
    <row r="114" spans="1:8" s="779" customFormat="1" x14ac:dyDescent="0.25">
      <c r="A114" s="778"/>
      <c r="B114" s="778"/>
      <c r="D114" s="803"/>
      <c r="E114" s="778"/>
      <c r="F114" s="778"/>
      <c r="G114" s="778"/>
      <c r="H114" s="778"/>
    </row>
    <row r="115" spans="1:8" s="779" customFormat="1" x14ac:dyDescent="0.25">
      <c r="A115" s="778"/>
      <c r="B115" s="778"/>
      <c r="D115" s="803"/>
      <c r="E115" s="778"/>
      <c r="F115" s="778"/>
      <c r="G115" s="778"/>
      <c r="H115" s="778"/>
    </row>
    <row r="116" spans="1:8" s="779" customFormat="1" x14ac:dyDescent="0.25">
      <c r="A116" s="778"/>
      <c r="B116" s="778"/>
      <c r="D116" s="803"/>
      <c r="E116" s="778"/>
      <c r="F116" s="778"/>
      <c r="G116" s="778"/>
      <c r="H116" s="778"/>
    </row>
    <row r="117" spans="1:8" s="779" customFormat="1" x14ac:dyDescent="0.25">
      <c r="A117" s="778"/>
      <c r="B117" s="778"/>
      <c r="D117" s="803"/>
      <c r="E117" s="778"/>
      <c r="F117" s="778"/>
      <c r="G117" s="778"/>
      <c r="H117" s="778"/>
    </row>
    <row r="118" spans="1:8" s="779" customFormat="1" x14ac:dyDescent="0.25">
      <c r="A118" s="778"/>
      <c r="B118" s="778"/>
      <c r="D118" s="803"/>
      <c r="E118" s="778"/>
      <c r="F118" s="778"/>
      <c r="G118" s="778"/>
      <c r="H118" s="778"/>
    </row>
    <row r="119" spans="1:8" s="779" customFormat="1" x14ac:dyDescent="0.25">
      <c r="A119" s="778"/>
      <c r="B119" s="778"/>
      <c r="D119" s="803"/>
      <c r="E119" s="778"/>
      <c r="F119" s="778"/>
      <c r="G119" s="778"/>
      <c r="H119" s="778"/>
    </row>
    <row r="120" spans="1:8" s="779" customFormat="1" x14ac:dyDescent="0.25">
      <c r="A120" s="778"/>
      <c r="B120" s="778"/>
      <c r="D120" s="803"/>
      <c r="E120" s="778"/>
      <c r="F120" s="778"/>
      <c r="G120" s="778"/>
      <c r="H120" s="778"/>
    </row>
    <row r="121" spans="1:8" s="779" customFormat="1" x14ac:dyDescent="0.25">
      <c r="A121" s="778"/>
      <c r="B121" s="778"/>
      <c r="D121" s="803"/>
      <c r="E121" s="778"/>
      <c r="F121" s="778"/>
      <c r="G121" s="778"/>
      <c r="H121" s="778"/>
    </row>
    <row r="122" spans="1:8" s="779" customFormat="1" x14ac:dyDescent="0.25">
      <c r="A122" s="778"/>
      <c r="B122" s="778"/>
      <c r="D122" s="803"/>
      <c r="E122" s="778"/>
      <c r="F122" s="778"/>
      <c r="G122" s="778"/>
      <c r="H122" s="778"/>
    </row>
    <row r="123" spans="1:8" s="779" customFormat="1" x14ac:dyDescent="0.25">
      <c r="A123" s="778"/>
      <c r="B123" s="778"/>
      <c r="D123" s="803"/>
      <c r="E123" s="778"/>
      <c r="F123" s="778"/>
      <c r="G123" s="778"/>
      <c r="H123" s="778"/>
    </row>
    <row r="124" spans="1:8" s="779" customFormat="1" x14ac:dyDescent="0.25">
      <c r="A124" s="778"/>
      <c r="B124" s="778"/>
      <c r="D124" s="803"/>
      <c r="E124" s="778"/>
      <c r="F124" s="778"/>
      <c r="G124" s="778"/>
      <c r="H124" s="778"/>
    </row>
    <row r="125" spans="1:8" s="779" customFormat="1" x14ac:dyDescent="0.25">
      <c r="A125" s="778"/>
      <c r="B125" s="778"/>
      <c r="D125" s="803"/>
      <c r="E125" s="778"/>
      <c r="F125" s="778"/>
      <c r="G125" s="778"/>
      <c r="H125" s="778"/>
    </row>
    <row r="126" spans="1:8" s="779" customFormat="1" x14ac:dyDescent="0.25">
      <c r="A126" s="778"/>
      <c r="B126" s="778"/>
      <c r="D126" s="803"/>
      <c r="E126" s="778"/>
      <c r="F126" s="778"/>
      <c r="G126" s="778"/>
      <c r="H126" s="778"/>
    </row>
    <row r="127" spans="1:8" s="779" customFormat="1" x14ac:dyDescent="0.25">
      <c r="A127" s="778"/>
      <c r="B127" s="778"/>
      <c r="D127" s="803"/>
      <c r="E127" s="778"/>
      <c r="F127" s="778"/>
      <c r="G127" s="778"/>
      <c r="H127" s="778"/>
    </row>
    <row r="128" spans="1:8" s="779" customFormat="1" x14ac:dyDescent="0.25">
      <c r="A128" s="778"/>
      <c r="B128" s="778"/>
      <c r="D128" s="803"/>
      <c r="E128" s="778"/>
      <c r="F128" s="778"/>
      <c r="G128" s="778"/>
      <c r="H128" s="778"/>
    </row>
    <row r="129" spans="1:8" s="779" customFormat="1" x14ac:dyDescent="0.25">
      <c r="A129" s="778"/>
      <c r="B129" s="778"/>
      <c r="D129" s="803"/>
      <c r="E129" s="778"/>
      <c r="F129" s="778"/>
      <c r="G129" s="778"/>
      <c r="H129" s="778"/>
    </row>
    <row r="130" spans="1:8" s="779" customFormat="1" x14ac:dyDescent="0.25">
      <c r="A130" s="778"/>
      <c r="B130" s="778"/>
      <c r="D130" s="803"/>
      <c r="E130" s="778"/>
      <c r="F130" s="778"/>
      <c r="G130" s="778"/>
      <c r="H130" s="778"/>
    </row>
    <row r="131" spans="1:8" s="779" customFormat="1" x14ac:dyDescent="0.25">
      <c r="A131" s="778"/>
      <c r="B131" s="778"/>
      <c r="D131" s="803"/>
      <c r="E131" s="778"/>
      <c r="F131" s="778"/>
      <c r="G131" s="778"/>
      <c r="H131" s="778"/>
    </row>
    <row r="132" spans="1:8" s="779" customFormat="1" x14ac:dyDescent="0.25">
      <c r="A132" s="778"/>
      <c r="B132" s="778"/>
      <c r="D132" s="803"/>
      <c r="E132" s="778"/>
      <c r="F132" s="778"/>
      <c r="G132" s="778"/>
      <c r="H132" s="778"/>
    </row>
    <row r="133" spans="1:8" s="779" customFormat="1" x14ac:dyDescent="0.25">
      <c r="A133" s="778"/>
      <c r="B133" s="778"/>
      <c r="D133" s="803"/>
      <c r="E133" s="778"/>
      <c r="F133" s="778"/>
      <c r="G133" s="778"/>
      <c r="H133" s="778"/>
    </row>
    <row r="134" spans="1:8" s="779" customFormat="1" x14ac:dyDescent="0.25">
      <c r="A134" s="778"/>
      <c r="B134" s="778"/>
      <c r="D134" s="803"/>
      <c r="E134" s="778"/>
      <c r="F134" s="778"/>
      <c r="G134" s="778"/>
      <c r="H134" s="778"/>
    </row>
    <row r="135" spans="1:8" s="779" customFormat="1" x14ac:dyDescent="0.25">
      <c r="A135" s="778"/>
      <c r="B135" s="778"/>
      <c r="D135" s="803"/>
      <c r="E135" s="778"/>
      <c r="F135" s="778"/>
      <c r="G135" s="778"/>
      <c r="H135" s="778"/>
    </row>
    <row r="136" spans="1:8" s="779" customFormat="1" x14ac:dyDescent="0.25">
      <c r="A136" s="778"/>
      <c r="B136" s="778"/>
      <c r="D136" s="803"/>
      <c r="E136" s="778"/>
      <c r="F136" s="778"/>
      <c r="G136" s="778"/>
      <c r="H136" s="778"/>
    </row>
    <row r="137" spans="1:8" s="779" customFormat="1" x14ac:dyDescent="0.25">
      <c r="A137" s="778"/>
      <c r="B137" s="778"/>
      <c r="D137" s="803"/>
      <c r="E137" s="778"/>
      <c r="F137" s="778"/>
      <c r="G137" s="778"/>
      <c r="H137" s="778"/>
    </row>
    <row r="138" spans="1:8" s="779" customFormat="1" x14ac:dyDescent="0.25">
      <c r="A138" s="778"/>
      <c r="B138" s="778"/>
      <c r="D138" s="803"/>
      <c r="E138" s="778"/>
      <c r="F138" s="778"/>
      <c r="G138" s="778"/>
      <c r="H138" s="778"/>
    </row>
    <row r="139" spans="1:8" s="779" customFormat="1" x14ac:dyDescent="0.25">
      <c r="A139" s="778"/>
      <c r="B139" s="778"/>
      <c r="D139" s="803"/>
      <c r="E139" s="778"/>
      <c r="F139" s="778"/>
      <c r="G139" s="778"/>
      <c r="H139" s="778"/>
    </row>
    <row r="140" spans="1:8" s="779" customFormat="1" x14ac:dyDescent="0.25">
      <c r="A140" s="778"/>
      <c r="B140" s="778"/>
      <c r="D140" s="803"/>
      <c r="E140" s="778"/>
      <c r="F140" s="778"/>
      <c r="G140" s="778"/>
      <c r="H140" s="778"/>
    </row>
    <row r="141" spans="1:8" s="779" customFormat="1" x14ac:dyDescent="0.25">
      <c r="A141" s="778"/>
      <c r="B141" s="778"/>
      <c r="D141" s="803"/>
      <c r="E141" s="778"/>
      <c r="F141" s="778"/>
      <c r="G141" s="778"/>
      <c r="H141" s="778"/>
    </row>
    <row r="142" spans="1:8" s="779" customFormat="1" x14ac:dyDescent="0.25">
      <c r="A142" s="778"/>
      <c r="B142" s="778"/>
      <c r="D142" s="803"/>
      <c r="E142" s="778"/>
      <c r="F142" s="778"/>
      <c r="G142" s="778"/>
      <c r="H142" s="778"/>
    </row>
    <row r="143" spans="1:8" s="779" customFormat="1" x14ac:dyDescent="0.25">
      <c r="A143" s="778"/>
      <c r="B143" s="778"/>
      <c r="D143" s="803"/>
      <c r="E143" s="778"/>
      <c r="F143" s="778"/>
      <c r="G143" s="778"/>
      <c r="H143" s="778"/>
    </row>
    <row r="144" spans="1:8" s="779" customFormat="1" x14ac:dyDescent="0.25">
      <c r="A144" s="778"/>
      <c r="B144" s="778"/>
      <c r="D144" s="803"/>
      <c r="E144" s="778"/>
      <c r="F144" s="778"/>
      <c r="G144" s="778"/>
      <c r="H144" s="778"/>
    </row>
    <row r="145" spans="1:8" s="779" customFormat="1" x14ac:dyDescent="0.25">
      <c r="A145" s="778"/>
      <c r="B145" s="778"/>
      <c r="D145" s="803"/>
      <c r="E145" s="778"/>
      <c r="F145" s="778"/>
      <c r="G145" s="778"/>
      <c r="H145" s="778"/>
    </row>
    <row r="146" spans="1:8" s="779" customFormat="1" x14ac:dyDescent="0.25">
      <c r="A146" s="778"/>
      <c r="B146" s="778"/>
      <c r="D146" s="803"/>
      <c r="E146" s="778"/>
      <c r="F146" s="778"/>
      <c r="G146" s="778"/>
      <c r="H146" s="778"/>
    </row>
    <row r="147" spans="1:8" s="779" customFormat="1" x14ac:dyDescent="0.25">
      <c r="A147" s="778"/>
      <c r="B147" s="778"/>
      <c r="D147" s="803"/>
      <c r="E147" s="778"/>
      <c r="F147" s="778"/>
      <c r="G147" s="778"/>
      <c r="H147" s="778"/>
    </row>
    <row r="148" spans="1:8" s="779" customFormat="1" x14ac:dyDescent="0.25">
      <c r="A148" s="778"/>
      <c r="B148" s="778"/>
      <c r="D148" s="803"/>
      <c r="E148" s="778"/>
      <c r="F148" s="778"/>
      <c r="G148" s="778"/>
      <c r="H148" s="778"/>
    </row>
    <row r="149" spans="1:8" s="779" customFormat="1" x14ac:dyDescent="0.25">
      <c r="A149" s="778"/>
      <c r="B149" s="778"/>
      <c r="D149" s="803"/>
      <c r="E149" s="778"/>
      <c r="F149" s="778"/>
      <c r="G149" s="778"/>
      <c r="H149" s="778"/>
    </row>
    <row r="150" spans="1:8" s="779" customFormat="1" x14ac:dyDescent="0.25">
      <c r="A150" s="778"/>
      <c r="B150" s="778"/>
      <c r="D150" s="803"/>
      <c r="E150" s="778"/>
      <c r="F150" s="778"/>
      <c r="G150" s="778"/>
      <c r="H150" s="778"/>
    </row>
    <row r="151" spans="1:8" s="779" customFormat="1" x14ac:dyDescent="0.25">
      <c r="A151" s="778"/>
      <c r="B151" s="778"/>
      <c r="D151" s="803"/>
      <c r="E151" s="778"/>
      <c r="F151" s="778"/>
      <c r="G151" s="778"/>
      <c r="H151" s="778"/>
    </row>
    <row r="152" spans="1:8" s="779" customFormat="1" x14ac:dyDescent="0.25">
      <c r="A152" s="778"/>
      <c r="B152" s="778"/>
      <c r="D152" s="803"/>
      <c r="E152" s="778"/>
      <c r="F152" s="778"/>
      <c r="G152" s="778"/>
      <c r="H152" s="778"/>
    </row>
    <row r="153" spans="1:8" s="779" customFormat="1" x14ac:dyDescent="0.25">
      <c r="A153" s="778"/>
      <c r="B153" s="778"/>
      <c r="D153" s="803"/>
      <c r="E153" s="778"/>
      <c r="F153" s="778"/>
      <c r="G153" s="778"/>
      <c r="H153" s="778"/>
    </row>
    <row r="154" spans="1:8" s="779" customFormat="1" x14ac:dyDescent="0.25">
      <c r="A154" s="778"/>
      <c r="B154" s="778"/>
      <c r="D154" s="803"/>
      <c r="E154" s="778"/>
      <c r="F154" s="778"/>
      <c r="G154" s="778"/>
      <c r="H154" s="778"/>
    </row>
    <row r="155" spans="1:8" s="779" customFormat="1" x14ac:dyDescent="0.25">
      <c r="A155" s="778"/>
      <c r="B155" s="778"/>
      <c r="D155" s="803"/>
      <c r="E155" s="778"/>
      <c r="F155" s="778"/>
      <c r="G155" s="778"/>
      <c r="H155" s="778"/>
    </row>
    <row r="156" spans="1:8" s="779" customFormat="1" x14ac:dyDescent="0.25">
      <c r="A156" s="778"/>
      <c r="B156" s="778"/>
      <c r="D156" s="803"/>
      <c r="E156" s="778"/>
      <c r="F156" s="778"/>
      <c r="G156" s="778"/>
      <c r="H156" s="778"/>
    </row>
    <row r="157" spans="1:8" s="779" customFormat="1" x14ac:dyDescent="0.25">
      <c r="A157" s="778"/>
      <c r="B157" s="778"/>
      <c r="D157" s="803"/>
      <c r="E157" s="778"/>
      <c r="F157" s="778"/>
      <c r="G157" s="778"/>
      <c r="H157" s="778"/>
    </row>
    <row r="158" spans="1:8" s="779" customFormat="1" x14ac:dyDescent="0.25">
      <c r="A158" s="778"/>
      <c r="B158" s="778"/>
      <c r="D158" s="803"/>
      <c r="E158" s="778"/>
      <c r="F158" s="778"/>
      <c r="G158" s="778"/>
      <c r="H158" s="778"/>
    </row>
    <row r="159" spans="1:8" s="779" customFormat="1" x14ac:dyDescent="0.25">
      <c r="A159" s="778"/>
      <c r="B159" s="778"/>
      <c r="D159" s="803"/>
      <c r="E159" s="778"/>
      <c r="F159" s="778"/>
      <c r="G159" s="778"/>
      <c r="H159" s="778"/>
    </row>
    <row r="160" spans="1:8" s="779" customFormat="1" x14ac:dyDescent="0.25">
      <c r="A160" s="778"/>
      <c r="B160" s="778"/>
      <c r="D160" s="803"/>
      <c r="E160" s="778"/>
      <c r="F160" s="778"/>
      <c r="G160" s="778"/>
      <c r="H160" s="778"/>
    </row>
    <row r="161" spans="1:8" s="779" customFormat="1" x14ac:dyDescent="0.25">
      <c r="A161" s="778"/>
      <c r="B161" s="778"/>
      <c r="D161" s="803"/>
      <c r="E161" s="778"/>
      <c r="F161" s="778"/>
      <c r="G161" s="778"/>
      <c r="H161" s="778"/>
    </row>
    <row r="162" spans="1:8" s="779" customFormat="1" x14ac:dyDescent="0.25">
      <c r="A162" s="778"/>
      <c r="B162" s="778"/>
      <c r="D162" s="803"/>
      <c r="E162" s="778"/>
      <c r="F162" s="778"/>
      <c r="G162" s="778"/>
      <c r="H162" s="778"/>
    </row>
    <row r="163" spans="1:8" s="779" customFormat="1" x14ac:dyDescent="0.25">
      <c r="A163" s="778"/>
      <c r="B163" s="778"/>
      <c r="D163" s="803"/>
      <c r="E163" s="778"/>
      <c r="F163" s="778"/>
      <c r="G163" s="778"/>
      <c r="H163" s="778"/>
    </row>
    <row r="164" spans="1:8" s="779" customFormat="1" x14ac:dyDescent="0.25">
      <c r="A164" s="778"/>
      <c r="B164" s="778"/>
      <c r="D164" s="803"/>
      <c r="E164" s="778"/>
      <c r="F164" s="778"/>
      <c r="G164" s="778"/>
      <c r="H164" s="778"/>
    </row>
    <row r="165" spans="1:8" s="779" customFormat="1" x14ac:dyDescent="0.25">
      <c r="A165" s="778"/>
      <c r="B165" s="778"/>
      <c r="D165" s="803"/>
      <c r="E165" s="778"/>
      <c r="F165" s="778"/>
      <c r="G165" s="778"/>
      <c r="H165" s="778"/>
    </row>
    <row r="166" spans="1:8" s="779" customFormat="1" x14ac:dyDescent="0.25">
      <c r="A166" s="778"/>
      <c r="B166" s="778"/>
      <c r="D166" s="803"/>
      <c r="E166" s="778"/>
      <c r="F166" s="778"/>
      <c r="G166" s="778"/>
      <c r="H166" s="778"/>
    </row>
    <row r="167" spans="1:8" s="779" customFormat="1" x14ac:dyDescent="0.25">
      <c r="A167" s="778"/>
      <c r="B167" s="778"/>
      <c r="D167" s="803"/>
      <c r="E167" s="778"/>
      <c r="F167" s="778"/>
      <c r="G167" s="778"/>
      <c r="H167" s="778"/>
    </row>
    <row r="168" spans="1:8" s="779" customFormat="1" x14ac:dyDescent="0.25">
      <c r="A168" s="778"/>
      <c r="B168" s="778"/>
      <c r="D168" s="803"/>
      <c r="E168" s="778"/>
      <c r="F168" s="778"/>
      <c r="G168" s="778"/>
      <c r="H168" s="778"/>
    </row>
    <row r="169" spans="1:8" s="779" customFormat="1" x14ac:dyDescent="0.25">
      <c r="A169" s="778"/>
      <c r="B169" s="778"/>
      <c r="D169" s="803"/>
      <c r="E169" s="778"/>
      <c r="F169" s="778"/>
      <c r="G169" s="778"/>
      <c r="H169" s="778"/>
    </row>
    <row r="170" spans="1:8" s="779" customFormat="1" x14ac:dyDescent="0.25">
      <c r="A170" s="778"/>
      <c r="B170" s="778"/>
      <c r="D170" s="803"/>
      <c r="E170" s="778"/>
      <c r="F170" s="778"/>
      <c r="G170" s="778"/>
      <c r="H170" s="778"/>
    </row>
    <row r="171" spans="1:8" s="779" customFormat="1" x14ac:dyDescent="0.25">
      <c r="A171" s="778"/>
      <c r="B171" s="778"/>
      <c r="D171" s="803"/>
      <c r="E171" s="778"/>
      <c r="F171" s="778"/>
      <c r="G171" s="778"/>
      <c r="H171" s="778"/>
    </row>
    <row r="172" spans="1:8" s="779" customFormat="1" x14ac:dyDescent="0.25">
      <c r="A172" s="778"/>
      <c r="B172" s="778"/>
      <c r="D172" s="803"/>
      <c r="E172" s="778"/>
      <c r="F172" s="778"/>
      <c r="G172" s="778"/>
      <c r="H172" s="778"/>
    </row>
    <row r="173" spans="1:8" s="779" customFormat="1" x14ac:dyDescent="0.25">
      <c r="A173" s="778"/>
      <c r="B173" s="778"/>
      <c r="D173" s="803"/>
      <c r="E173" s="778"/>
      <c r="F173" s="778"/>
      <c r="G173" s="778"/>
      <c r="H173" s="778"/>
    </row>
    <row r="174" spans="1:8" s="779" customFormat="1" x14ac:dyDescent="0.25">
      <c r="A174" s="778"/>
      <c r="B174" s="778"/>
      <c r="D174" s="803"/>
      <c r="E174" s="778"/>
      <c r="F174" s="778"/>
      <c r="G174" s="778"/>
      <c r="H174" s="778"/>
    </row>
    <row r="175" spans="1:8" s="779" customFormat="1" x14ac:dyDescent="0.25">
      <c r="A175" s="778"/>
      <c r="B175" s="778"/>
      <c r="D175" s="803"/>
      <c r="E175" s="778"/>
      <c r="F175" s="778"/>
      <c r="G175" s="778"/>
      <c r="H175" s="778"/>
    </row>
    <row r="176" spans="1:8" s="779" customFormat="1" x14ac:dyDescent="0.25">
      <c r="A176" s="778"/>
      <c r="B176" s="778"/>
      <c r="D176" s="803"/>
      <c r="E176" s="778"/>
      <c r="F176" s="778"/>
      <c r="G176" s="778"/>
      <c r="H176" s="778"/>
    </row>
    <row r="177" spans="1:8" s="779" customFormat="1" x14ac:dyDescent="0.25">
      <c r="A177" s="778"/>
      <c r="B177" s="778"/>
      <c r="D177" s="803"/>
      <c r="E177" s="778"/>
      <c r="F177" s="778"/>
      <c r="G177" s="778"/>
      <c r="H177" s="778"/>
    </row>
    <row r="178" spans="1:8" s="779" customFormat="1" x14ac:dyDescent="0.25">
      <c r="A178" s="778"/>
      <c r="B178" s="778"/>
      <c r="D178" s="803"/>
      <c r="E178" s="778"/>
      <c r="F178" s="778"/>
      <c r="G178" s="778"/>
      <c r="H178" s="778"/>
    </row>
    <row r="179" spans="1:8" s="779" customFormat="1" x14ac:dyDescent="0.25">
      <c r="A179" s="778"/>
      <c r="B179" s="778"/>
      <c r="D179" s="803"/>
      <c r="E179" s="778"/>
      <c r="F179" s="778"/>
      <c r="G179" s="778"/>
      <c r="H179" s="778"/>
    </row>
    <row r="180" spans="1:8" s="779" customFormat="1" x14ac:dyDescent="0.25">
      <c r="A180" s="778"/>
      <c r="B180" s="778"/>
      <c r="D180" s="803"/>
      <c r="E180" s="778"/>
      <c r="F180" s="778"/>
      <c r="G180" s="778"/>
      <c r="H180" s="778"/>
    </row>
    <row r="181" spans="1:8" s="779" customFormat="1" x14ac:dyDescent="0.25">
      <c r="A181" s="778"/>
      <c r="B181" s="778"/>
      <c r="D181" s="803"/>
      <c r="E181" s="778"/>
      <c r="F181" s="778"/>
      <c r="G181" s="778"/>
      <c r="H181" s="778"/>
    </row>
    <row r="182" spans="1:8" s="779" customFormat="1" x14ac:dyDescent="0.25">
      <c r="A182" s="778"/>
      <c r="B182" s="778"/>
      <c r="D182" s="803"/>
      <c r="E182" s="778"/>
      <c r="F182" s="778"/>
      <c r="G182" s="778"/>
      <c r="H182" s="778"/>
    </row>
    <row r="183" spans="1:8" s="779" customFormat="1" x14ac:dyDescent="0.25">
      <c r="A183" s="778"/>
      <c r="B183" s="778"/>
      <c r="D183" s="803"/>
      <c r="E183" s="778"/>
      <c r="F183" s="778"/>
      <c r="G183" s="778"/>
      <c r="H183" s="778"/>
    </row>
    <row r="184" spans="1:8" s="779" customFormat="1" x14ac:dyDescent="0.25">
      <c r="A184" s="778"/>
      <c r="B184" s="778"/>
      <c r="D184" s="803"/>
      <c r="E184" s="778"/>
      <c r="F184" s="778"/>
      <c r="G184" s="778"/>
      <c r="H184" s="778"/>
    </row>
    <row r="185" spans="1:8" s="779" customFormat="1" x14ac:dyDescent="0.25">
      <c r="A185" s="778"/>
      <c r="B185" s="778"/>
      <c r="D185" s="803"/>
      <c r="E185" s="778"/>
      <c r="F185" s="778"/>
      <c r="G185" s="778"/>
      <c r="H185" s="778"/>
    </row>
    <row r="186" spans="1:8" s="779" customFormat="1" x14ac:dyDescent="0.25">
      <c r="A186" s="778"/>
      <c r="B186" s="778"/>
      <c r="D186" s="803"/>
      <c r="E186" s="778"/>
      <c r="F186" s="778"/>
      <c r="G186" s="778"/>
      <c r="H186" s="778"/>
    </row>
    <row r="187" spans="1:8" s="779" customFormat="1" x14ac:dyDescent="0.25">
      <c r="A187" s="778"/>
      <c r="B187" s="778"/>
      <c r="D187" s="803"/>
      <c r="E187" s="778"/>
      <c r="F187" s="778"/>
      <c r="G187" s="778"/>
      <c r="H187" s="778"/>
    </row>
    <row r="188" spans="1:8" s="779" customFormat="1" x14ac:dyDescent="0.25">
      <c r="A188" s="778"/>
      <c r="B188" s="778"/>
      <c r="D188" s="803"/>
      <c r="E188" s="778"/>
      <c r="F188" s="778"/>
      <c r="G188" s="778"/>
      <c r="H188" s="778"/>
    </row>
    <row r="189" spans="1:8" s="779" customFormat="1" x14ac:dyDescent="0.25">
      <c r="A189" s="778"/>
      <c r="B189" s="778"/>
      <c r="D189" s="803"/>
      <c r="E189" s="778"/>
      <c r="F189" s="778"/>
      <c r="G189" s="778"/>
      <c r="H189" s="778"/>
    </row>
    <row r="190" spans="1:8" s="779" customFormat="1" x14ac:dyDescent="0.25">
      <c r="A190" s="778"/>
      <c r="B190" s="778"/>
      <c r="D190" s="803"/>
      <c r="E190" s="778"/>
      <c r="F190" s="778"/>
      <c r="G190" s="778"/>
      <c r="H190" s="778"/>
    </row>
    <row r="191" spans="1:8" s="779" customFormat="1" x14ac:dyDescent="0.25">
      <c r="A191" s="778"/>
      <c r="B191" s="778"/>
      <c r="D191" s="803"/>
      <c r="E191" s="778"/>
      <c r="F191" s="778"/>
      <c r="G191" s="778"/>
      <c r="H191" s="778"/>
    </row>
    <row r="192" spans="1:8" s="779" customFormat="1" x14ac:dyDescent="0.25">
      <c r="A192" s="778"/>
      <c r="B192" s="778"/>
      <c r="D192" s="803"/>
      <c r="E192" s="778"/>
      <c r="F192" s="778"/>
      <c r="G192" s="778"/>
      <c r="H192" s="778"/>
    </row>
    <row r="193" spans="1:8" s="779" customFormat="1" x14ac:dyDescent="0.25">
      <c r="A193" s="778"/>
      <c r="B193" s="778"/>
      <c r="D193" s="803"/>
      <c r="E193" s="778"/>
      <c r="F193" s="778"/>
      <c r="G193" s="778"/>
      <c r="H193" s="778"/>
    </row>
    <row r="194" spans="1:8" s="779" customFormat="1" x14ac:dyDescent="0.25">
      <c r="A194" s="778"/>
      <c r="B194" s="778"/>
      <c r="D194" s="803"/>
      <c r="E194" s="778"/>
      <c r="F194" s="778"/>
      <c r="G194" s="778"/>
      <c r="H194" s="778"/>
    </row>
    <row r="195" spans="1:8" s="779" customFormat="1" x14ac:dyDescent="0.25">
      <c r="A195" s="778"/>
      <c r="B195" s="778"/>
      <c r="D195" s="803"/>
      <c r="E195" s="778"/>
      <c r="F195" s="778"/>
      <c r="G195" s="778"/>
      <c r="H195" s="778"/>
    </row>
    <row r="196" spans="1:8" s="779" customFormat="1" x14ac:dyDescent="0.25">
      <c r="A196" s="778"/>
      <c r="B196" s="778"/>
      <c r="D196" s="803"/>
      <c r="E196" s="778"/>
      <c r="F196" s="778"/>
      <c r="G196" s="778"/>
      <c r="H196" s="778"/>
    </row>
    <row r="197" spans="1:8" s="779" customFormat="1" x14ac:dyDescent="0.25">
      <c r="A197" s="778"/>
      <c r="B197" s="778"/>
      <c r="D197" s="803"/>
      <c r="E197" s="778"/>
      <c r="F197" s="778"/>
      <c r="G197" s="778"/>
      <c r="H197" s="778"/>
    </row>
    <row r="198" spans="1:8" s="779" customFormat="1" x14ac:dyDescent="0.25">
      <c r="A198" s="778"/>
      <c r="B198" s="778"/>
      <c r="D198" s="803"/>
      <c r="E198" s="778"/>
      <c r="F198" s="778"/>
      <c r="G198" s="778"/>
      <c r="H198" s="778"/>
    </row>
    <row r="199" spans="1:8" s="779" customFormat="1" x14ac:dyDescent="0.25">
      <c r="A199" s="778"/>
      <c r="B199" s="778"/>
      <c r="D199" s="803"/>
      <c r="E199" s="778"/>
      <c r="F199" s="778"/>
      <c r="G199" s="778"/>
      <c r="H199" s="778"/>
    </row>
    <row r="200" spans="1:8" s="779" customFormat="1" x14ac:dyDescent="0.25">
      <c r="A200" s="778"/>
      <c r="B200" s="778"/>
      <c r="D200" s="803"/>
      <c r="E200" s="778"/>
      <c r="F200" s="778"/>
      <c r="G200" s="778"/>
      <c r="H200" s="778"/>
    </row>
    <row r="201" spans="1:8" s="779" customFormat="1" x14ac:dyDescent="0.25">
      <c r="A201" s="778"/>
      <c r="B201" s="778"/>
      <c r="D201" s="803"/>
      <c r="E201" s="778"/>
      <c r="F201" s="778"/>
      <c r="G201" s="778"/>
      <c r="H201" s="778"/>
    </row>
    <row r="202" spans="1:8" s="779" customFormat="1" x14ac:dyDescent="0.25">
      <c r="A202" s="778"/>
      <c r="B202" s="778"/>
      <c r="D202" s="803"/>
      <c r="E202" s="778"/>
      <c r="F202" s="778"/>
      <c r="G202" s="778"/>
      <c r="H202" s="778"/>
    </row>
    <row r="203" spans="1:8" s="779" customFormat="1" x14ac:dyDescent="0.25">
      <c r="A203" s="778"/>
      <c r="B203" s="778"/>
      <c r="D203" s="803"/>
      <c r="E203" s="778"/>
      <c r="F203" s="778"/>
      <c r="G203" s="778"/>
      <c r="H203" s="778"/>
    </row>
    <row r="204" spans="1:8" s="779" customFormat="1" x14ac:dyDescent="0.25">
      <c r="A204" s="778"/>
      <c r="B204" s="778"/>
      <c r="D204" s="803"/>
      <c r="E204" s="778"/>
      <c r="F204" s="778"/>
      <c r="G204" s="778"/>
      <c r="H204" s="778"/>
    </row>
    <row r="205" spans="1:8" s="779" customFormat="1" x14ac:dyDescent="0.25">
      <c r="A205" s="778"/>
      <c r="B205" s="778"/>
      <c r="D205" s="803"/>
      <c r="E205" s="778"/>
      <c r="F205" s="778"/>
      <c r="G205" s="778"/>
      <c r="H205" s="778"/>
    </row>
    <row r="206" spans="1:8" s="779" customFormat="1" x14ac:dyDescent="0.25">
      <c r="A206" s="778"/>
      <c r="B206" s="778"/>
      <c r="D206" s="803"/>
      <c r="E206" s="778"/>
      <c r="F206" s="778"/>
      <c r="G206" s="778"/>
      <c r="H206" s="778"/>
    </row>
    <row r="207" spans="1:8" s="779" customFormat="1" x14ac:dyDescent="0.25">
      <c r="A207" s="778"/>
      <c r="B207" s="778"/>
      <c r="D207" s="803"/>
      <c r="E207" s="778"/>
      <c r="F207" s="778"/>
      <c r="G207" s="778"/>
      <c r="H207" s="778"/>
    </row>
    <row r="208" spans="1:8" s="779" customFormat="1" x14ac:dyDescent="0.25">
      <c r="A208" s="778"/>
      <c r="B208" s="778"/>
      <c r="D208" s="803"/>
      <c r="E208" s="778"/>
      <c r="F208" s="778"/>
      <c r="G208" s="778"/>
      <c r="H208" s="778"/>
    </row>
    <row r="209" spans="1:8" s="779" customFormat="1" x14ac:dyDescent="0.25">
      <c r="A209" s="778"/>
      <c r="B209" s="778"/>
      <c r="D209" s="803"/>
      <c r="E209" s="778"/>
      <c r="F209" s="778"/>
      <c r="G209" s="778"/>
      <c r="H209" s="778"/>
    </row>
    <row r="210" spans="1:8" s="779" customFormat="1" x14ac:dyDescent="0.25">
      <c r="A210" s="778"/>
      <c r="B210" s="778"/>
      <c r="D210" s="803"/>
      <c r="E210" s="778"/>
      <c r="F210" s="778"/>
      <c r="G210" s="778"/>
      <c r="H210" s="778"/>
    </row>
    <row r="211" spans="1:8" s="779" customFormat="1" x14ac:dyDescent="0.25">
      <c r="A211" s="778"/>
      <c r="B211" s="778"/>
      <c r="D211" s="803"/>
      <c r="E211" s="778"/>
      <c r="F211" s="778"/>
      <c r="G211" s="778"/>
      <c r="H211" s="778"/>
    </row>
    <row r="212" spans="1:8" s="779" customFormat="1" x14ac:dyDescent="0.25">
      <c r="A212" s="778"/>
      <c r="B212" s="778"/>
      <c r="D212" s="803"/>
      <c r="E212" s="778"/>
      <c r="F212" s="778"/>
      <c r="G212" s="778"/>
      <c r="H212" s="778"/>
    </row>
    <row r="213" spans="1:8" s="779" customFormat="1" x14ac:dyDescent="0.25">
      <c r="A213" s="778"/>
      <c r="B213" s="778"/>
      <c r="D213" s="803"/>
      <c r="E213" s="778"/>
      <c r="F213" s="778"/>
      <c r="G213" s="778"/>
      <c r="H213" s="778"/>
    </row>
    <row r="214" spans="1:8" s="779" customFormat="1" x14ac:dyDescent="0.25">
      <c r="A214" s="778"/>
      <c r="B214" s="778"/>
      <c r="D214" s="803"/>
      <c r="E214" s="778"/>
      <c r="F214" s="778"/>
      <c r="G214" s="778"/>
      <c r="H214" s="778"/>
    </row>
    <row r="215" spans="1:8" s="779" customFormat="1" x14ac:dyDescent="0.25">
      <c r="A215" s="778"/>
      <c r="B215" s="778"/>
      <c r="D215" s="803"/>
      <c r="E215" s="778"/>
      <c r="F215" s="778"/>
      <c r="G215" s="778"/>
      <c r="H215" s="778"/>
    </row>
    <row r="216" spans="1:8" s="779" customFormat="1" x14ac:dyDescent="0.25">
      <c r="A216" s="778"/>
      <c r="B216" s="778"/>
      <c r="D216" s="803"/>
      <c r="E216" s="778"/>
      <c r="F216" s="778"/>
      <c r="G216" s="778"/>
      <c r="H216" s="778"/>
    </row>
    <row r="217" spans="1:8" s="779" customFormat="1" x14ac:dyDescent="0.25">
      <c r="A217" s="778"/>
      <c r="B217" s="778"/>
      <c r="D217" s="803"/>
      <c r="E217" s="778"/>
      <c r="F217" s="778"/>
      <c r="G217" s="778"/>
      <c r="H217" s="778"/>
    </row>
    <row r="218" spans="1:8" s="779" customFormat="1" x14ac:dyDescent="0.25">
      <c r="A218" s="778"/>
      <c r="B218" s="778"/>
      <c r="D218" s="803"/>
      <c r="E218" s="778"/>
      <c r="F218" s="778"/>
      <c r="G218" s="778"/>
      <c r="H218" s="778"/>
    </row>
    <row r="219" spans="1:8" s="779" customFormat="1" x14ac:dyDescent="0.25">
      <c r="A219" s="778"/>
      <c r="B219" s="778"/>
      <c r="D219" s="803"/>
      <c r="E219" s="778"/>
      <c r="F219" s="778"/>
      <c r="G219" s="778"/>
      <c r="H219" s="778"/>
    </row>
    <row r="220" spans="1:8" s="779" customFormat="1" x14ac:dyDescent="0.25">
      <c r="A220" s="778"/>
      <c r="B220" s="778"/>
      <c r="D220" s="803"/>
      <c r="E220" s="778"/>
      <c r="F220" s="778"/>
      <c r="G220" s="778"/>
      <c r="H220" s="778"/>
    </row>
    <row r="221" spans="1:8" s="779" customFormat="1" x14ac:dyDescent="0.25">
      <c r="A221" s="778"/>
      <c r="B221" s="778"/>
      <c r="D221" s="803"/>
      <c r="E221" s="778"/>
      <c r="F221" s="778"/>
      <c r="G221" s="778"/>
      <c r="H221" s="778"/>
    </row>
    <row r="222" spans="1:8" s="779" customFormat="1" x14ac:dyDescent="0.25">
      <c r="A222" s="778"/>
      <c r="B222" s="778"/>
      <c r="D222" s="803"/>
      <c r="E222" s="778"/>
      <c r="F222" s="778"/>
      <c r="G222" s="778"/>
      <c r="H222" s="778"/>
    </row>
    <row r="223" spans="1:8" s="779" customFormat="1" x14ac:dyDescent="0.25">
      <c r="A223" s="778"/>
      <c r="B223" s="778"/>
      <c r="D223" s="803"/>
      <c r="E223" s="778"/>
      <c r="F223" s="778"/>
      <c r="G223" s="778"/>
      <c r="H223" s="778"/>
    </row>
    <row r="224" spans="1:8" s="779" customFormat="1" x14ac:dyDescent="0.25">
      <c r="A224" s="778"/>
      <c r="B224" s="778"/>
      <c r="D224" s="803"/>
      <c r="E224" s="778"/>
      <c r="F224" s="778"/>
      <c r="G224" s="778"/>
      <c r="H224" s="778"/>
    </row>
    <row r="225" spans="1:8" s="779" customFormat="1" x14ac:dyDescent="0.25">
      <c r="A225" s="778"/>
      <c r="B225" s="778"/>
      <c r="D225" s="803"/>
      <c r="E225" s="778"/>
      <c r="F225" s="778"/>
      <c r="G225" s="778"/>
      <c r="H225" s="778"/>
    </row>
    <row r="226" spans="1:8" s="779" customFormat="1" x14ac:dyDescent="0.25">
      <c r="A226" s="778"/>
      <c r="B226" s="778"/>
      <c r="D226" s="803"/>
      <c r="E226" s="778"/>
      <c r="F226" s="778"/>
      <c r="G226" s="778"/>
      <c r="H226" s="778"/>
    </row>
    <row r="227" spans="1:8" s="779" customFormat="1" x14ac:dyDescent="0.25">
      <c r="A227" s="778"/>
      <c r="B227" s="778"/>
      <c r="D227" s="803"/>
      <c r="E227" s="778"/>
      <c r="F227" s="778"/>
      <c r="G227" s="778"/>
      <c r="H227" s="778"/>
    </row>
    <row r="228" spans="1:8" s="779" customFormat="1" x14ac:dyDescent="0.25">
      <c r="A228" s="778"/>
      <c r="B228" s="778"/>
      <c r="D228" s="803"/>
      <c r="E228" s="778"/>
      <c r="F228" s="778"/>
      <c r="G228" s="778"/>
      <c r="H228" s="778"/>
    </row>
    <row r="229" spans="1:8" s="779" customFormat="1" x14ac:dyDescent="0.25">
      <c r="A229" s="778"/>
      <c r="B229" s="778"/>
      <c r="D229" s="803"/>
      <c r="E229" s="778"/>
      <c r="F229" s="778"/>
      <c r="G229" s="778"/>
      <c r="H229" s="778"/>
    </row>
    <row r="230" spans="1:8" s="779" customFormat="1" x14ac:dyDescent="0.25">
      <c r="A230" s="778"/>
      <c r="B230" s="778"/>
      <c r="D230" s="803"/>
      <c r="E230" s="778"/>
      <c r="F230" s="778"/>
      <c r="G230" s="778"/>
      <c r="H230" s="778"/>
    </row>
    <row r="231" spans="1:8" s="779" customFormat="1" x14ac:dyDescent="0.25">
      <c r="A231" s="778"/>
      <c r="B231" s="778"/>
      <c r="D231" s="803"/>
      <c r="E231" s="778"/>
      <c r="F231" s="778"/>
      <c r="G231" s="778"/>
      <c r="H231" s="778"/>
    </row>
    <row r="232" spans="1:8" s="779" customFormat="1" x14ac:dyDescent="0.25">
      <c r="A232" s="778"/>
      <c r="B232" s="778"/>
      <c r="D232" s="803"/>
      <c r="E232" s="778"/>
      <c r="F232" s="778"/>
      <c r="G232" s="778"/>
      <c r="H232" s="778"/>
    </row>
    <row r="233" spans="1:8" s="779" customFormat="1" x14ac:dyDescent="0.25">
      <c r="A233" s="778"/>
      <c r="B233" s="778"/>
      <c r="D233" s="803"/>
      <c r="E233" s="778"/>
      <c r="F233" s="778"/>
      <c r="G233" s="778"/>
      <c r="H233" s="778"/>
    </row>
    <row r="234" spans="1:8" s="779" customFormat="1" x14ac:dyDescent="0.25">
      <c r="A234" s="778"/>
      <c r="B234" s="778"/>
      <c r="D234" s="803"/>
      <c r="E234" s="778"/>
      <c r="F234" s="778"/>
      <c r="G234" s="778"/>
      <c r="H234" s="778"/>
    </row>
    <row r="235" spans="1:8" s="779" customFormat="1" x14ac:dyDescent="0.25">
      <c r="A235" s="778"/>
      <c r="B235" s="778"/>
      <c r="D235" s="803"/>
      <c r="E235" s="778"/>
      <c r="F235" s="778"/>
      <c r="G235" s="778"/>
      <c r="H235" s="778"/>
    </row>
    <row r="236" spans="1:8" s="779" customFormat="1" x14ac:dyDescent="0.25">
      <c r="A236" s="778"/>
      <c r="B236" s="778"/>
      <c r="D236" s="803"/>
      <c r="E236" s="778"/>
      <c r="F236" s="778"/>
      <c r="G236" s="778"/>
      <c r="H236" s="778"/>
    </row>
    <row r="237" spans="1:8" s="779" customFormat="1" x14ac:dyDescent="0.25">
      <c r="A237" s="778"/>
      <c r="B237" s="778"/>
      <c r="D237" s="803"/>
      <c r="E237" s="778"/>
      <c r="F237" s="778"/>
      <c r="G237" s="778"/>
      <c r="H237" s="778"/>
    </row>
    <row r="238" spans="1:8" s="779" customFormat="1" x14ac:dyDescent="0.25">
      <c r="A238" s="778"/>
      <c r="B238" s="778"/>
      <c r="D238" s="803"/>
      <c r="E238" s="778"/>
      <c r="F238" s="778"/>
      <c r="G238" s="778"/>
      <c r="H238" s="778"/>
    </row>
    <row r="239" spans="1:8" s="779" customFormat="1" x14ac:dyDescent="0.25">
      <c r="A239" s="778"/>
      <c r="B239" s="778"/>
      <c r="D239" s="803"/>
      <c r="E239" s="778"/>
      <c r="F239" s="778"/>
      <c r="G239" s="778"/>
      <c r="H239" s="778"/>
    </row>
    <row r="240" spans="1:8" s="779" customFormat="1" x14ac:dyDescent="0.25">
      <c r="A240" s="778"/>
      <c r="B240" s="778"/>
      <c r="D240" s="803"/>
      <c r="E240" s="778"/>
      <c r="F240" s="778"/>
      <c r="G240" s="778"/>
      <c r="H240" s="778"/>
    </row>
    <row r="241" spans="1:8" s="779" customFormat="1" x14ac:dyDescent="0.25">
      <c r="A241" s="778"/>
      <c r="B241" s="778"/>
      <c r="D241" s="803"/>
      <c r="E241" s="778"/>
      <c r="F241" s="778"/>
      <c r="G241" s="778"/>
      <c r="H241" s="778"/>
    </row>
    <row r="242" spans="1:8" s="779" customFormat="1" x14ac:dyDescent="0.25">
      <c r="A242" s="778"/>
      <c r="B242" s="778"/>
      <c r="D242" s="803"/>
      <c r="E242" s="778"/>
      <c r="F242" s="778"/>
      <c r="G242" s="778"/>
      <c r="H242" s="778"/>
    </row>
    <row r="243" spans="1:8" s="779" customFormat="1" x14ac:dyDescent="0.25">
      <c r="A243" s="778"/>
      <c r="B243" s="778"/>
      <c r="D243" s="803"/>
      <c r="E243" s="778"/>
      <c r="F243" s="778"/>
      <c r="G243" s="778"/>
      <c r="H243" s="778"/>
    </row>
    <row r="244" spans="1:8" s="779" customFormat="1" x14ac:dyDescent="0.25">
      <c r="A244" s="778"/>
      <c r="B244" s="778"/>
      <c r="D244" s="803"/>
      <c r="E244" s="778"/>
      <c r="F244" s="778"/>
      <c r="G244" s="778"/>
      <c r="H244" s="778"/>
    </row>
    <row r="245" spans="1:8" s="779" customFormat="1" x14ac:dyDescent="0.25">
      <c r="A245" s="778"/>
      <c r="B245" s="778"/>
      <c r="D245" s="803"/>
      <c r="E245" s="778"/>
      <c r="F245" s="778"/>
      <c r="G245" s="778"/>
      <c r="H245" s="778"/>
    </row>
    <row r="246" spans="1:8" s="779" customFormat="1" x14ac:dyDescent="0.25">
      <c r="A246" s="778"/>
      <c r="B246" s="778"/>
      <c r="D246" s="803"/>
      <c r="E246" s="778"/>
      <c r="F246" s="778"/>
      <c r="G246" s="778"/>
      <c r="H246" s="778"/>
    </row>
    <row r="247" spans="1:8" s="779" customFormat="1" x14ac:dyDescent="0.25">
      <c r="A247" s="778"/>
      <c r="B247" s="778"/>
      <c r="D247" s="803"/>
      <c r="E247" s="778"/>
      <c r="F247" s="778"/>
      <c r="G247" s="778"/>
      <c r="H247" s="778"/>
    </row>
    <row r="248" spans="1:8" s="779" customFormat="1" x14ac:dyDescent="0.25">
      <c r="A248" s="778"/>
      <c r="B248" s="778"/>
      <c r="D248" s="803"/>
      <c r="E248" s="778"/>
      <c r="F248" s="778"/>
      <c r="G248" s="778"/>
      <c r="H248" s="778"/>
    </row>
    <row r="249" spans="1:8" s="779" customFormat="1" x14ac:dyDescent="0.25">
      <c r="A249" s="778"/>
      <c r="B249" s="778"/>
      <c r="D249" s="803"/>
      <c r="E249" s="778"/>
      <c r="F249" s="778"/>
      <c r="G249" s="778"/>
      <c r="H249" s="778"/>
    </row>
    <row r="250" spans="1:8" s="779" customFormat="1" x14ac:dyDescent="0.25">
      <c r="A250" s="778"/>
      <c r="B250" s="778"/>
      <c r="D250" s="803"/>
      <c r="E250" s="778"/>
      <c r="F250" s="778"/>
      <c r="G250" s="778"/>
      <c r="H250" s="778"/>
    </row>
    <row r="251" spans="1:8" s="779" customFormat="1" x14ac:dyDescent="0.25">
      <c r="A251" s="778"/>
      <c r="B251" s="778"/>
      <c r="D251" s="803"/>
      <c r="E251" s="778"/>
      <c r="F251" s="778"/>
      <c r="G251" s="778"/>
      <c r="H251" s="778"/>
    </row>
    <row r="252" spans="1:8" s="779" customFormat="1" x14ac:dyDescent="0.25">
      <c r="A252" s="778"/>
      <c r="B252" s="778"/>
      <c r="D252" s="803"/>
      <c r="E252" s="778"/>
      <c r="F252" s="778"/>
      <c r="G252" s="778"/>
      <c r="H252" s="778"/>
    </row>
    <row r="253" spans="1:8" s="779" customFormat="1" x14ac:dyDescent="0.25">
      <c r="A253" s="778"/>
      <c r="B253" s="778"/>
      <c r="D253" s="803"/>
      <c r="E253" s="778"/>
      <c r="F253" s="778"/>
      <c r="G253" s="778"/>
      <c r="H253" s="778"/>
    </row>
    <row r="254" spans="1:8" s="779" customFormat="1" x14ac:dyDescent="0.25">
      <c r="A254" s="778"/>
      <c r="B254" s="778"/>
      <c r="D254" s="803"/>
      <c r="E254" s="778"/>
      <c r="F254" s="778"/>
      <c r="G254" s="778"/>
      <c r="H254" s="778"/>
    </row>
    <row r="255" spans="1:8" s="779" customFormat="1" x14ac:dyDescent="0.25">
      <c r="A255" s="778"/>
      <c r="B255" s="778"/>
      <c r="D255" s="803"/>
      <c r="E255" s="778"/>
      <c r="F255" s="778"/>
      <c r="G255" s="778"/>
      <c r="H255" s="778"/>
    </row>
    <row r="256" spans="1:8" s="779" customFormat="1" x14ac:dyDescent="0.25">
      <c r="A256" s="778"/>
      <c r="B256" s="778"/>
      <c r="D256" s="803"/>
      <c r="E256" s="778"/>
      <c r="F256" s="778"/>
      <c r="G256" s="778"/>
      <c r="H256" s="778"/>
    </row>
    <row r="257" spans="1:8" s="779" customFormat="1" x14ac:dyDescent="0.25">
      <c r="A257" s="778"/>
      <c r="B257" s="778"/>
      <c r="D257" s="803"/>
      <c r="E257" s="778"/>
      <c r="F257" s="778"/>
      <c r="G257" s="778"/>
      <c r="H257" s="778"/>
    </row>
    <row r="258" spans="1:8" s="779" customFormat="1" x14ac:dyDescent="0.25">
      <c r="A258" s="778"/>
      <c r="B258" s="778"/>
      <c r="D258" s="803"/>
      <c r="E258" s="778"/>
      <c r="F258" s="778"/>
      <c r="G258" s="778"/>
      <c r="H258" s="778"/>
    </row>
    <row r="259" spans="1:8" s="779" customFormat="1" x14ac:dyDescent="0.25">
      <c r="A259" s="778"/>
      <c r="B259" s="778"/>
      <c r="D259" s="803"/>
      <c r="E259" s="778"/>
      <c r="F259" s="778"/>
      <c r="G259" s="778"/>
      <c r="H259" s="778"/>
    </row>
    <row r="260" spans="1:8" s="779" customFormat="1" x14ac:dyDescent="0.25">
      <c r="A260" s="778"/>
      <c r="B260" s="778"/>
      <c r="D260" s="804"/>
      <c r="E260" s="778"/>
      <c r="F260" s="778"/>
      <c r="G260" s="778"/>
      <c r="H260" s="778"/>
    </row>
    <row r="261" spans="1:8" s="779" customFormat="1" x14ac:dyDescent="0.25">
      <c r="A261" s="778"/>
      <c r="B261" s="778"/>
      <c r="D261" s="804"/>
      <c r="E261" s="778"/>
      <c r="F261" s="778"/>
      <c r="G261" s="778"/>
      <c r="H261" s="778"/>
    </row>
    <row r="262" spans="1:8" s="779" customFormat="1" x14ac:dyDescent="0.25">
      <c r="A262" s="778"/>
      <c r="B262" s="778"/>
      <c r="D262" s="804"/>
      <c r="E262" s="778"/>
      <c r="F262" s="778"/>
      <c r="G262" s="778"/>
      <c r="H262" s="778"/>
    </row>
    <row r="263" spans="1:8" s="779" customFormat="1" x14ac:dyDescent="0.25">
      <c r="A263" s="778"/>
      <c r="B263" s="778"/>
      <c r="D263" s="804"/>
      <c r="E263" s="778"/>
      <c r="F263" s="778"/>
      <c r="G263" s="778"/>
      <c r="H263" s="778"/>
    </row>
    <row r="264" spans="1:8" s="779" customFormat="1" x14ac:dyDescent="0.25">
      <c r="A264" s="778"/>
      <c r="B264" s="778"/>
      <c r="D264" s="804"/>
      <c r="E264" s="778"/>
      <c r="F264" s="778"/>
      <c r="G264" s="778"/>
      <c r="H264" s="778"/>
    </row>
    <row r="265" spans="1:8" s="779" customFormat="1" x14ac:dyDescent="0.25">
      <c r="A265" s="778"/>
      <c r="B265" s="778"/>
      <c r="D265" s="804"/>
      <c r="E265" s="778"/>
      <c r="F265" s="778"/>
      <c r="G265" s="778"/>
      <c r="H265" s="778"/>
    </row>
    <row r="266" spans="1:8" s="779" customFormat="1" x14ac:dyDescent="0.25">
      <c r="A266" s="778"/>
      <c r="B266" s="778"/>
      <c r="D266" s="804"/>
      <c r="E266" s="778"/>
      <c r="F266" s="778"/>
      <c r="G266" s="778"/>
      <c r="H266" s="778"/>
    </row>
    <row r="267" spans="1:8" s="779" customFormat="1" x14ac:dyDescent="0.25">
      <c r="A267" s="778"/>
      <c r="B267" s="778"/>
      <c r="D267" s="804"/>
      <c r="E267" s="778"/>
      <c r="F267" s="778"/>
      <c r="G267" s="778"/>
      <c r="H267" s="778"/>
    </row>
    <row r="268" spans="1:8" s="779" customFormat="1" x14ac:dyDescent="0.25">
      <c r="A268" s="778"/>
      <c r="B268" s="778"/>
      <c r="D268" s="804"/>
      <c r="E268" s="778"/>
      <c r="F268" s="778"/>
      <c r="G268" s="778"/>
      <c r="H268" s="778"/>
    </row>
    <row r="269" spans="1:8" s="779" customFormat="1" x14ac:dyDescent="0.25">
      <c r="A269" s="778"/>
      <c r="B269" s="778"/>
      <c r="D269" s="804"/>
      <c r="E269" s="778"/>
      <c r="F269" s="778"/>
      <c r="G269" s="778"/>
      <c r="H269" s="778"/>
    </row>
    <row r="270" spans="1:8" s="779" customFormat="1" x14ac:dyDescent="0.25">
      <c r="A270" s="778"/>
      <c r="B270" s="778"/>
      <c r="D270" s="804"/>
      <c r="E270" s="778"/>
      <c r="F270" s="778"/>
      <c r="G270" s="778"/>
      <c r="H270" s="778"/>
    </row>
    <row r="271" spans="1:8" s="779" customFormat="1" x14ac:dyDescent="0.25">
      <c r="A271" s="778"/>
      <c r="B271" s="778"/>
      <c r="D271" s="804"/>
      <c r="E271" s="778"/>
      <c r="F271" s="778"/>
      <c r="G271" s="778"/>
      <c r="H271" s="778"/>
    </row>
    <row r="272" spans="1:8" s="779" customFormat="1" x14ac:dyDescent="0.25">
      <c r="A272" s="778"/>
      <c r="B272" s="778"/>
      <c r="D272" s="804"/>
      <c r="E272" s="778"/>
      <c r="F272" s="778"/>
      <c r="G272" s="778"/>
      <c r="H272" s="778"/>
    </row>
    <row r="273" spans="1:8" s="779" customFormat="1" x14ac:dyDescent="0.25">
      <c r="A273" s="778"/>
      <c r="B273" s="778"/>
      <c r="D273" s="804"/>
      <c r="E273" s="778"/>
      <c r="F273" s="778"/>
      <c r="G273" s="778"/>
      <c r="H273" s="778"/>
    </row>
    <row r="274" spans="1:8" s="779" customFormat="1" x14ac:dyDescent="0.25">
      <c r="A274" s="778"/>
      <c r="B274" s="778"/>
      <c r="D274" s="804"/>
      <c r="E274" s="778"/>
      <c r="F274" s="778"/>
      <c r="G274" s="778"/>
      <c r="H274" s="778"/>
    </row>
    <row r="275" spans="1:8" s="779" customFormat="1" x14ac:dyDescent="0.25">
      <c r="A275" s="778"/>
      <c r="B275" s="778"/>
      <c r="D275" s="804"/>
      <c r="E275" s="778"/>
      <c r="F275" s="778"/>
      <c r="G275" s="778"/>
      <c r="H275" s="778"/>
    </row>
    <row r="276" spans="1:8" s="779" customFormat="1" x14ac:dyDescent="0.25">
      <c r="A276" s="778"/>
      <c r="B276" s="778"/>
      <c r="D276" s="804"/>
      <c r="E276" s="778"/>
      <c r="F276" s="778"/>
      <c r="G276" s="778"/>
      <c r="H276" s="778"/>
    </row>
    <row r="277" spans="1:8" s="779" customFormat="1" x14ac:dyDescent="0.25">
      <c r="A277" s="778"/>
      <c r="B277" s="778"/>
      <c r="D277" s="804"/>
      <c r="E277" s="778"/>
      <c r="F277" s="778"/>
      <c r="G277" s="778"/>
      <c r="H277" s="778"/>
    </row>
    <row r="278" spans="1:8" s="779" customFormat="1" x14ac:dyDescent="0.25">
      <c r="A278" s="778"/>
      <c r="B278" s="778"/>
      <c r="D278" s="804"/>
      <c r="E278" s="778"/>
      <c r="F278" s="778"/>
      <c r="G278" s="778"/>
      <c r="H278" s="778"/>
    </row>
    <row r="279" spans="1:8" s="779" customFormat="1" x14ac:dyDescent="0.25">
      <c r="A279" s="778"/>
      <c r="B279" s="778"/>
      <c r="D279" s="804"/>
      <c r="E279" s="778"/>
      <c r="F279" s="778"/>
      <c r="G279" s="778"/>
      <c r="H279" s="778"/>
    </row>
    <row r="280" spans="1:8" s="779" customFormat="1" x14ac:dyDescent="0.25">
      <c r="A280" s="778"/>
      <c r="B280" s="778"/>
      <c r="D280" s="804"/>
      <c r="E280" s="778"/>
      <c r="F280" s="778"/>
      <c r="G280" s="778"/>
      <c r="H280" s="778"/>
    </row>
    <row r="281" spans="1:8" s="779" customFormat="1" x14ac:dyDescent="0.25">
      <c r="A281" s="778"/>
      <c r="B281" s="778"/>
      <c r="D281" s="804"/>
      <c r="E281" s="778"/>
      <c r="F281" s="778"/>
      <c r="G281" s="778"/>
      <c r="H281" s="778"/>
    </row>
    <row r="282" spans="1:8" s="779" customFormat="1" x14ac:dyDescent="0.25">
      <c r="A282" s="778"/>
      <c r="B282" s="778"/>
      <c r="D282" s="804"/>
      <c r="E282" s="778"/>
      <c r="F282" s="778"/>
      <c r="G282" s="778"/>
      <c r="H282" s="778"/>
    </row>
    <row r="283" spans="1:8" s="779" customFormat="1" x14ac:dyDescent="0.25">
      <c r="A283" s="778"/>
      <c r="B283" s="778"/>
      <c r="D283" s="804"/>
      <c r="E283" s="778"/>
      <c r="F283" s="778"/>
      <c r="G283" s="778"/>
      <c r="H283" s="778"/>
    </row>
    <row r="284" spans="1:8" s="779" customFormat="1" x14ac:dyDescent="0.25">
      <c r="A284" s="778"/>
      <c r="B284" s="778"/>
      <c r="D284" s="804"/>
      <c r="E284" s="778"/>
      <c r="F284" s="778"/>
      <c r="G284" s="778"/>
      <c r="H284" s="778"/>
    </row>
    <row r="285" spans="1:8" s="779" customFormat="1" x14ac:dyDescent="0.25">
      <c r="A285" s="778"/>
      <c r="B285" s="778"/>
      <c r="D285" s="804"/>
      <c r="E285" s="778"/>
      <c r="F285" s="778"/>
      <c r="G285" s="778"/>
      <c r="H285" s="778"/>
    </row>
    <row r="286" spans="1:8" s="779" customFormat="1" x14ac:dyDescent="0.25">
      <c r="A286" s="778"/>
      <c r="B286" s="778"/>
      <c r="D286" s="804"/>
      <c r="E286" s="778"/>
      <c r="F286" s="778"/>
      <c r="G286" s="778"/>
      <c r="H286" s="778"/>
    </row>
    <row r="287" spans="1:8" s="779" customFormat="1" x14ac:dyDescent="0.25">
      <c r="A287" s="778"/>
      <c r="B287" s="778"/>
      <c r="D287" s="804"/>
      <c r="E287" s="778"/>
      <c r="F287" s="778"/>
      <c r="G287" s="778"/>
      <c r="H287" s="778"/>
    </row>
    <row r="288" spans="1:8" s="779" customFormat="1" x14ac:dyDescent="0.25">
      <c r="A288" s="778"/>
      <c r="B288" s="778"/>
      <c r="D288" s="804"/>
      <c r="E288" s="778"/>
      <c r="F288" s="778"/>
      <c r="G288" s="778"/>
      <c r="H288" s="778"/>
    </row>
    <row r="289" spans="1:8" s="779" customFormat="1" x14ac:dyDescent="0.25">
      <c r="A289" s="778"/>
      <c r="B289" s="778"/>
      <c r="D289" s="804"/>
      <c r="E289" s="778"/>
      <c r="F289" s="778"/>
      <c r="G289" s="778"/>
      <c r="H289" s="778"/>
    </row>
    <row r="290" spans="1:8" s="779" customFormat="1" x14ac:dyDescent="0.25">
      <c r="A290" s="778"/>
      <c r="B290" s="778"/>
      <c r="D290" s="804"/>
      <c r="E290" s="778"/>
      <c r="F290" s="778"/>
      <c r="G290" s="778"/>
      <c r="H290" s="778"/>
    </row>
    <row r="291" spans="1:8" s="779" customFormat="1" x14ac:dyDescent="0.25">
      <c r="A291" s="778"/>
      <c r="B291" s="778"/>
      <c r="D291" s="804"/>
      <c r="E291" s="778"/>
      <c r="F291" s="778"/>
      <c r="G291" s="778"/>
      <c r="H291" s="778"/>
    </row>
    <row r="292" spans="1:8" s="779" customFormat="1" x14ac:dyDescent="0.25">
      <c r="A292" s="778"/>
      <c r="B292" s="778"/>
      <c r="D292" s="804"/>
      <c r="E292" s="778"/>
      <c r="F292" s="778"/>
      <c r="G292" s="778"/>
      <c r="H292" s="778"/>
    </row>
    <row r="293" spans="1:8" s="779" customFormat="1" x14ac:dyDescent="0.25">
      <c r="A293" s="778"/>
      <c r="B293" s="778"/>
      <c r="D293" s="804"/>
      <c r="E293" s="778"/>
      <c r="F293" s="778"/>
      <c r="G293" s="778"/>
      <c r="H293" s="778"/>
    </row>
    <row r="294" spans="1:8" s="779" customFormat="1" x14ac:dyDescent="0.25">
      <c r="A294" s="778"/>
      <c r="B294" s="778"/>
      <c r="D294" s="804"/>
      <c r="E294" s="778"/>
      <c r="F294" s="778"/>
      <c r="G294" s="778"/>
      <c r="H294" s="778"/>
    </row>
    <row r="295" spans="1:8" s="779" customFormat="1" x14ac:dyDescent="0.25">
      <c r="A295" s="778"/>
      <c r="B295" s="778"/>
      <c r="D295" s="804"/>
      <c r="E295" s="778"/>
      <c r="F295" s="778"/>
      <c r="G295" s="778"/>
      <c r="H295" s="778"/>
    </row>
    <row r="296" spans="1:8" s="779" customFormat="1" x14ac:dyDescent="0.25">
      <c r="A296" s="778"/>
      <c r="B296" s="778"/>
      <c r="D296" s="804"/>
      <c r="E296" s="778"/>
      <c r="F296" s="778"/>
      <c r="G296" s="778"/>
      <c r="H296" s="778"/>
    </row>
    <row r="297" spans="1:8" s="779" customFormat="1" x14ac:dyDescent="0.25">
      <c r="A297" s="778"/>
      <c r="B297" s="778"/>
      <c r="D297" s="804"/>
      <c r="E297" s="778"/>
      <c r="F297" s="778"/>
      <c r="G297" s="778"/>
      <c r="H297" s="778"/>
    </row>
    <row r="298" spans="1:8" s="779" customFormat="1" x14ac:dyDescent="0.25">
      <c r="A298" s="778"/>
      <c r="B298" s="778"/>
      <c r="D298" s="804"/>
      <c r="E298" s="778"/>
      <c r="F298" s="778"/>
      <c r="G298" s="778"/>
      <c r="H298" s="778"/>
    </row>
    <row r="299" spans="1:8" s="779" customFormat="1" x14ac:dyDescent="0.25">
      <c r="A299" s="778"/>
      <c r="B299" s="778"/>
      <c r="D299" s="804"/>
      <c r="E299" s="778"/>
      <c r="F299" s="778"/>
      <c r="G299" s="778"/>
      <c r="H299" s="778"/>
    </row>
    <row r="300" spans="1:8" s="779" customFormat="1" x14ac:dyDescent="0.25">
      <c r="A300" s="778"/>
      <c r="B300" s="778"/>
      <c r="D300" s="804"/>
      <c r="E300" s="778"/>
      <c r="F300" s="778"/>
      <c r="G300" s="778"/>
      <c r="H300" s="778"/>
    </row>
    <row r="301" spans="1:8" s="779" customFormat="1" x14ac:dyDescent="0.25">
      <c r="A301" s="778"/>
      <c r="B301" s="778"/>
      <c r="D301" s="804"/>
      <c r="E301" s="778"/>
      <c r="F301" s="778"/>
      <c r="G301" s="778"/>
      <c r="H301" s="778"/>
    </row>
    <row r="302" spans="1:8" s="779" customFormat="1" x14ac:dyDescent="0.25">
      <c r="A302" s="778"/>
      <c r="B302" s="778"/>
      <c r="D302" s="804"/>
      <c r="E302" s="778"/>
      <c r="F302" s="778"/>
      <c r="G302" s="778"/>
      <c r="H302" s="778"/>
    </row>
    <row r="303" spans="1:8" s="779" customFormat="1" x14ac:dyDescent="0.25">
      <c r="A303" s="778"/>
      <c r="B303" s="778"/>
      <c r="D303" s="804"/>
      <c r="E303" s="778"/>
      <c r="F303" s="778"/>
      <c r="G303" s="778"/>
      <c r="H303" s="778"/>
    </row>
    <row r="304" spans="1:8" s="779" customFormat="1" x14ac:dyDescent="0.25">
      <c r="A304" s="778"/>
      <c r="B304" s="778"/>
      <c r="D304" s="804"/>
      <c r="E304" s="778"/>
      <c r="F304" s="778"/>
      <c r="G304" s="778"/>
      <c r="H304" s="778"/>
    </row>
    <row r="305" spans="1:8" s="779" customFormat="1" x14ac:dyDescent="0.25">
      <c r="A305" s="778"/>
      <c r="B305" s="778"/>
      <c r="D305" s="804"/>
      <c r="E305" s="778"/>
      <c r="F305" s="778"/>
      <c r="G305" s="778"/>
      <c r="H305" s="778"/>
    </row>
    <row r="306" spans="1:8" s="779" customFormat="1" x14ac:dyDescent="0.25">
      <c r="A306" s="778"/>
      <c r="B306" s="778"/>
      <c r="D306" s="804"/>
      <c r="E306" s="778"/>
      <c r="F306" s="778"/>
      <c r="G306" s="778"/>
      <c r="H306" s="778"/>
    </row>
    <row r="307" spans="1:8" s="779" customFormat="1" x14ac:dyDescent="0.25">
      <c r="A307" s="778"/>
      <c r="B307" s="778"/>
      <c r="D307" s="804"/>
      <c r="E307" s="778"/>
      <c r="F307" s="778"/>
      <c r="G307" s="778"/>
      <c r="H307" s="778"/>
    </row>
    <row r="308" spans="1:8" s="779" customFormat="1" x14ac:dyDescent="0.25">
      <c r="A308" s="778"/>
      <c r="B308" s="778"/>
      <c r="D308" s="804"/>
      <c r="E308" s="778"/>
      <c r="F308" s="778"/>
      <c r="G308" s="778"/>
      <c r="H308" s="778"/>
    </row>
    <row r="309" spans="1:8" s="779" customFormat="1" x14ac:dyDescent="0.25">
      <c r="A309" s="778"/>
      <c r="B309" s="778"/>
      <c r="D309" s="804"/>
      <c r="E309" s="778"/>
      <c r="F309" s="778"/>
      <c r="G309" s="778"/>
      <c r="H309" s="778"/>
    </row>
    <row r="310" spans="1:8" s="779" customFormat="1" x14ac:dyDescent="0.25">
      <c r="A310" s="778"/>
      <c r="B310" s="778"/>
      <c r="D310" s="804"/>
      <c r="E310" s="778"/>
      <c r="F310" s="778"/>
      <c r="G310" s="778"/>
      <c r="H310" s="778"/>
    </row>
    <row r="311" spans="1:8" s="779" customFormat="1" x14ac:dyDescent="0.25">
      <c r="A311" s="778"/>
      <c r="B311" s="778"/>
      <c r="D311" s="804"/>
      <c r="E311" s="778"/>
      <c r="F311" s="778"/>
      <c r="G311" s="778"/>
      <c r="H311" s="778"/>
    </row>
    <row r="312" spans="1:8" s="779" customFormat="1" x14ac:dyDescent="0.25">
      <c r="A312" s="778"/>
      <c r="B312" s="778"/>
      <c r="D312" s="804"/>
      <c r="E312" s="778"/>
      <c r="F312" s="778"/>
      <c r="G312" s="778"/>
      <c r="H312" s="778"/>
    </row>
    <row r="313" spans="1:8" s="779" customFormat="1" x14ac:dyDescent="0.25">
      <c r="A313" s="778"/>
      <c r="B313" s="778"/>
      <c r="D313" s="804"/>
      <c r="E313" s="778"/>
      <c r="F313" s="778"/>
      <c r="G313" s="778"/>
      <c r="H313" s="778"/>
    </row>
    <row r="314" spans="1:8" s="779" customFormat="1" x14ac:dyDescent="0.25">
      <c r="A314" s="778"/>
      <c r="B314" s="778"/>
      <c r="D314" s="804"/>
      <c r="E314" s="778"/>
      <c r="F314" s="778"/>
      <c r="G314" s="778"/>
      <c r="H314" s="778"/>
    </row>
    <row r="315" spans="1:8" s="779" customFormat="1" x14ac:dyDescent="0.25">
      <c r="A315" s="778"/>
      <c r="B315" s="778"/>
      <c r="D315" s="804"/>
      <c r="E315" s="778"/>
      <c r="F315" s="778"/>
      <c r="G315" s="778"/>
      <c r="H315" s="778"/>
    </row>
    <row r="316" spans="1:8" s="779" customFormat="1" x14ac:dyDescent="0.25">
      <c r="A316" s="778"/>
      <c r="B316" s="778"/>
      <c r="D316" s="804"/>
      <c r="E316" s="778"/>
      <c r="F316" s="778"/>
      <c r="G316" s="778"/>
      <c r="H316" s="778"/>
    </row>
  </sheetData>
  <mergeCells count="4">
    <mergeCell ref="A1:E1"/>
    <mergeCell ref="A2:E2"/>
    <mergeCell ref="A21:E21"/>
    <mergeCell ref="A22:C22"/>
  </mergeCells>
  <printOptions horizontalCentered="1"/>
  <pageMargins left="0.31496062992125984" right="0.31496062992125984" top="0.55118110236220474" bottom="0.35433070866141736" header="0" footer="0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Y250"/>
  <sheetViews>
    <sheetView view="pageBreakPreview" topLeftCell="G1" zoomScale="85" zoomScaleNormal="85" zoomScaleSheetLayoutView="85" workbookViewId="0">
      <selection activeCell="E20" sqref="E20:G20"/>
    </sheetView>
  </sheetViews>
  <sheetFormatPr defaultRowHeight="12.75" x14ac:dyDescent="0.25"/>
  <cols>
    <col min="1" max="1" width="9" style="53" customWidth="1"/>
    <col min="2" max="2" width="0.5703125" style="13" customWidth="1"/>
    <col min="3" max="3" width="3.28515625" style="427" customWidth="1"/>
    <col min="4" max="4" width="4.140625" style="428" customWidth="1"/>
    <col min="5" max="5" width="3.5703125" style="428" customWidth="1"/>
    <col min="6" max="6" width="2.7109375" style="428" customWidth="1"/>
    <col min="7" max="7" width="56.7109375" style="429" customWidth="1"/>
    <col min="8" max="8" width="52" style="430" customWidth="1"/>
    <col min="9" max="9" width="9.85546875" style="431" customWidth="1"/>
    <col min="10" max="10" width="18.42578125" style="432" hidden="1" customWidth="1"/>
    <col min="11" max="11" width="21.28515625" style="432" customWidth="1"/>
    <col min="12" max="12" width="18.42578125" style="432" customWidth="1"/>
    <col min="13" max="13" width="20.85546875" style="432" customWidth="1"/>
    <col min="14" max="14" width="21.42578125" style="432" customWidth="1"/>
    <col min="15" max="15" width="18.42578125" style="432" customWidth="1"/>
    <col min="16" max="16" width="0.85546875" style="291" customWidth="1"/>
    <col min="17" max="17" width="18.42578125" style="432" customWidth="1"/>
    <col min="18" max="18" width="17.5703125" style="431" customWidth="1"/>
    <col min="19" max="19" width="4.85546875" style="500" customWidth="1"/>
    <col min="20" max="20" width="24.85546875" style="924" customWidth="1"/>
    <col min="21" max="22" width="14.140625" style="53" customWidth="1"/>
    <col min="23" max="31" width="10.5703125" style="53" customWidth="1"/>
    <col min="32" max="237" width="9.140625" style="53"/>
    <col min="238" max="238" width="1.7109375" style="53" customWidth="1"/>
    <col min="239" max="240" width="4.7109375" style="53" customWidth="1"/>
    <col min="241" max="241" width="54.140625" style="53" customWidth="1"/>
    <col min="242" max="242" width="52" style="53" customWidth="1"/>
    <col min="243" max="243" width="5.28515625" style="53" customWidth="1"/>
    <col min="244" max="244" width="5.85546875" style="53" bestFit="1" customWidth="1"/>
    <col min="245" max="245" width="16.42578125" style="53" customWidth="1"/>
    <col min="246" max="246" width="4.5703125" style="53" customWidth="1"/>
    <col min="247" max="247" width="14.140625" style="53" customWidth="1"/>
    <col min="248" max="248" width="27.140625" style="53" customWidth="1"/>
    <col min="249" max="249" width="16.28515625" style="53" customWidth="1"/>
    <col min="250" max="250" width="13.85546875" style="53" customWidth="1"/>
    <col min="251" max="493" width="9.140625" style="53"/>
    <col min="494" max="494" width="1.7109375" style="53" customWidth="1"/>
    <col min="495" max="496" width="4.7109375" style="53" customWidth="1"/>
    <col min="497" max="497" width="54.140625" style="53" customWidth="1"/>
    <col min="498" max="498" width="52" style="53" customWidth="1"/>
    <col min="499" max="499" width="5.28515625" style="53" customWidth="1"/>
    <col min="500" max="500" width="5.85546875" style="53" bestFit="1" customWidth="1"/>
    <col min="501" max="501" width="16.42578125" style="53" customWidth="1"/>
    <col min="502" max="502" width="4.5703125" style="53" customWidth="1"/>
    <col min="503" max="503" width="14.140625" style="53" customWidth="1"/>
    <col min="504" max="504" width="27.140625" style="53" customWidth="1"/>
    <col min="505" max="505" width="16.28515625" style="53" customWidth="1"/>
    <col min="506" max="506" width="13.85546875" style="53" customWidth="1"/>
    <col min="507" max="749" width="9.140625" style="53"/>
    <col min="750" max="750" width="1.7109375" style="53" customWidth="1"/>
    <col min="751" max="752" width="4.7109375" style="53" customWidth="1"/>
    <col min="753" max="753" width="54.140625" style="53" customWidth="1"/>
    <col min="754" max="754" width="52" style="53" customWidth="1"/>
    <col min="755" max="755" width="5.28515625" style="53" customWidth="1"/>
    <col min="756" max="756" width="5.85546875" style="53" bestFit="1" customWidth="1"/>
    <col min="757" max="757" width="16.42578125" style="53" customWidth="1"/>
    <col min="758" max="758" width="4.5703125" style="53" customWidth="1"/>
    <col min="759" max="759" width="14.140625" style="53" customWidth="1"/>
    <col min="760" max="760" width="27.140625" style="53" customWidth="1"/>
    <col min="761" max="761" width="16.28515625" style="53" customWidth="1"/>
    <col min="762" max="762" width="13.85546875" style="53" customWidth="1"/>
    <col min="763" max="1005" width="9.140625" style="53"/>
    <col min="1006" max="1006" width="1.7109375" style="53" customWidth="1"/>
    <col min="1007" max="1008" width="4.7109375" style="53" customWidth="1"/>
    <col min="1009" max="1009" width="54.140625" style="53" customWidth="1"/>
    <col min="1010" max="1010" width="52" style="53" customWidth="1"/>
    <col min="1011" max="1011" width="5.28515625" style="53" customWidth="1"/>
    <col min="1012" max="1012" width="5.85546875" style="53" bestFit="1" customWidth="1"/>
    <col min="1013" max="1013" width="16.42578125" style="53" customWidth="1"/>
    <col min="1014" max="1014" width="4.5703125" style="53" customWidth="1"/>
    <col min="1015" max="1015" width="14.140625" style="53" customWidth="1"/>
    <col min="1016" max="1016" width="27.140625" style="53" customWidth="1"/>
    <col min="1017" max="1017" width="16.28515625" style="53" customWidth="1"/>
    <col min="1018" max="1018" width="13.85546875" style="53" customWidth="1"/>
    <col min="1019" max="1261" width="9.140625" style="53"/>
    <col min="1262" max="1262" width="1.7109375" style="53" customWidth="1"/>
    <col min="1263" max="1264" width="4.7109375" style="53" customWidth="1"/>
    <col min="1265" max="1265" width="54.140625" style="53" customWidth="1"/>
    <col min="1266" max="1266" width="52" style="53" customWidth="1"/>
    <col min="1267" max="1267" width="5.28515625" style="53" customWidth="1"/>
    <col min="1268" max="1268" width="5.85546875" style="53" bestFit="1" customWidth="1"/>
    <col min="1269" max="1269" width="16.42578125" style="53" customWidth="1"/>
    <col min="1270" max="1270" width="4.5703125" style="53" customWidth="1"/>
    <col min="1271" max="1271" width="14.140625" style="53" customWidth="1"/>
    <col min="1272" max="1272" width="27.140625" style="53" customWidth="1"/>
    <col min="1273" max="1273" width="16.28515625" style="53" customWidth="1"/>
    <col min="1274" max="1274" width="13.85546875" style="53" customWidth="1"/>
    <col min="1275" max="1517" width="9.140625" style="53"/>
    <col min="1518" max="1518" width="1.7109375" style="53" customWidth="1"/>
    <col min="1519" max="1520" width="4.7109375" style="53" customWidth="1"/>
    <col min="1521" max="1521" width="54.140625" style="53" customWidth="1"/>
    <col min="1522" max="1522" width="52" style="53" customWidth="1"/>
    <col min="1523" max="1523" width="5.28515625" style="53" customWidth="1"/>
    <col min="1524" max="1524" width="5.85546875" style="53" bestFit="1" customWidth="1"/>
    <col min="1525" max="1525" width="16.42578125" style="53" customWidth="1"/>
    <col min="1526" max="1526" width="4.5703125" style="53" customWidth="1"/>
    <col min="1527" max="1527" width="14.140625" style="53" customWidth="1"/>
    <col min="1528" max="1528" width="27.140625" style="53" customWidth="1"/>
    <col min="1529" max="1529" width="16.28515625" style="53" customWidth="1"/>
    <col min="1530" max="1530" width="13.85546875" style="53" customWidth="1"/>
    <col min="1531" max="1773" width="9.140625" style="53"/>
    <col min="1774" max="1774" width="1.7109375" style="53" customWidth="1"/>
    <col min="1775" max="1776" width="4.7109375" style="53" customWidth="1"/>
    <col min="1777" max="1777" width="54.140625" style="53" customWidth="1"/>
    <col min="1778" max="1778" width="52" style="53" customWidth="1"/>
    <col min="1779" max="1779" width="5.28515625" style="53" customWidth="1"/>
    <col min="1780" max="1780" width="5.85546875" style="53" bestFit="1" customWidth="1"/>
    <col min="1781" max="1781" width="16.42578125" style="53" customWidth="1"/>
    <col min="1782" max="1782" width="4.5703125" style="53" customWidth="1"/>
    <col min="1783" max="1783" width="14.140625" style="53" customWidth="1"/>
    <col min="1784" max="1784" width="27.140625" style="53" customWidth="1"/>
    <col min="1785" max="1785" width="16.28515625" style="53" customWidth="1"/>
    <col min="1786" max="1786" width="13.85546875" style="53" customWidth="1"/>
    <col min="1787" max="2029" width="9.140625" style="53"/>
    <col min="2030" max="2030" width="1.7109375" style="53" customWidth="1"/>
    <col min="2031" max="2032" width="4.7109375" style="53" customWidth="1"/>
    <col min="2033" max="2033" width="54.140625" style="53" customWidth="1"/>
    <col min="2034" max="2034" width="52" style="53" customWidth="1"/>
    <col min="2035" max="2035" width="5.28515625" style="53" customWidth="1"/>
    <col min="2036" max="2036" width="5.85546875" style="53" bestFit="1" customWidth="1"/>
    <col min="2037" max="2037" width="16.42578125" style="53" customWidth="1"/>
    <col min="2038" max="2038" width="4.5703125" style="53" customWidth="1"/>
    <col min="2039" max="2039" width="14.140625" style="53" customWidth="1"/>
    <col min="2040" max="2040" width="27.140625" style="53" customWidth="1"/>
    <col min="2041" max="2041" width="16.28515625" style="53" customWidth="1"/>
    <col min="2042" max="2042" width="13.85546875" style="53" customWidth="1"/>
    <col min="2043" max="2285" width="9.140625" style="53"/>
    <col min="2286" max="2286" width="1.7109375" style="53" customWidth="1"/>
    <col min="2287" max="2288" width="4.7109375" style="53" customWidth="1"/>
    <col min="2289" max="2289" width="54.140625" style="53" customWidth="1"/>
    <col min="2290" max="2290" width="52" style="53" customWidth="1"/>
    <col min="2291" max="2291" width="5.28515625" style="53" customWidth="1"/>
    <col min="2292" max="2292" width="5.85546875" style="53" bestFit="1" customWidth="1"/>
    <col min="2293" max="2293" width="16.42578125" style="53" customWidth="1"/>
    <col min="2294" max="2294" width="4.5703125" style="53" customWidth="1"/>
    <col min="2295" max="2295" width="14.140625" style="53" customWidth="1"/>
    <col min="2296" max="2296" width="27.140625" style="53" customWidth="1"/>
    <col min="2297" max="2297" width="16.28515625" style="53" customWidth="1"/>
    <col min="2298" max="2298" width="13.85546875" style="53" customWidth="1"/>
    <col min="2299" max="2541" width="9.140625" style="53"/>
    <col min="2542" max="2542" width="1.7109375" style="53" customWidth="1"/>
    <col min="2543" max="2544" width="4.7109375" style="53" customWidth="1"/>
    <col min="2545" max="2545" width="54.140625" style="53" customWidth="1"/>
    <col min="2546" max="2546" width="52" style="53" customWidth="1"/>
    <col min="2547" max="2547" width="5.28515625" style="53" customWidth="1"/>
    <col min="2548" max="2548" width="5.85546875" style="53" bestFit="1" customWidth="1"/>
    <col min="2549" max="2549" width="16.42578125" style="53" customWidth="1"/>
    <col min="2550" max="2550" width="4.5703125" style="53" customWidth="1"/>
    <col min="2551" max="2551" width="14.140625" style="53" customWidth="1"/>
    <col min="2552" max="2552" width="27.140625" style="53" customWidth="1"/>
    <col min="2553" max="2553" width="16.28515625" style="53" customWidth="1"/>
    <col min="2554" max="2554" width="13.85546875" style="53" customWidth="1"/>
    <col min="2555" max="2797" width="9.140625" style="53"/>
    <col min="2798" max="2798" width="1.7109375" style="53" customWidth="1"/>
    <col min="2799" max="2800" width="4.7109375" style="53" customWidth="1"/>
    <col min="2801" max="2801" width="54.140625" style="53" customWidth="1"/>
    <col min="2802" max="2802" width="52" style="53" customWidth="1"/>
    <col min="2803" max="2803" width="5.28515625" style="53" customWidth="1"/>
    <col min="2804" max="2804" width="5.85546875" style="53" bestFit="1" customWidth="1"/>
    <col min="2805" max="2805" width="16.42578125" style="53" customWidth="1"/>
    <col min="2806" max="2806" width="4.5703125" style="53" customWidth="1"/>
    <col min="2807" max="2807" width="14.140625" style="53" customWidth="1"/>
    <col min="2808" max="2808" width="27.140625" style="53" customWidth="1"/>
    <col min="2809" max="2809" width="16.28515625" style="53" customWidth="1"/>
    <col min="2810" max="2810" width="13.85546875" style="53" customWidth="1"/>
    <col min="2811" max="3053" width="9.140625" style="53"/>
    <col min="3054" max="3054" width="1.7109375" style="53" customWidth="1"/>
    <col min="3055" max="3056" width="4.7109375" style="53" customWidth="1"/>
    <col min="3057" max="3057" width="54.140625" style="53" customWidth="1"/>
    <col min="3058" max="3058" width="52" style="53" customWidth="1"/>
    <col min="3059" max="3059" width="5.28515625" style="53" customWidth="1"/>
    <col min="3060" max="3060" width="5.85546875" style="53" bestFit="1" customWidth="1"/>
    <col min="3061" max="3061" width="16.42578125" style="53" customWidth="1"/>
    <col min="3062" max="3062" width="4.5703125" style="53" customWidth="1"/>
    <col min="3063" max="3063" width="14.140625" style="53" customWidth="1"/>
    <col min="3064" max="3064" width="27.140625" style="53" customWidth="1"/>
    <col min="3065" max="3065" width="16.28515625" style="53" customWidth="1"/>
    <col min="3066" max="3066" width="13.85546875" style="53" customWidth="1"/>
    <col min="3067" max="3309" width="9.140625" style="53"/>
    <col min="3310" max="3310" width="1.7109375" style="53" customWidth="1"/>
    <col min="3311" max="3312" width="4.7109375" style="53" customWidth="1"/>
    <col min="3313" max="3313" width="54.140625" style="53" customWidth="1"/>
    <col min="3314" max="3314" width="52" style="53" customWidth="1"/>
    <col min="3315" max="3315" width="5.28515625" style="53" customWidth="1"/>
    <col min="3316" max="3316" width="5.85546875" style="53" bestFit="1" customWidth="1"/>
    <col min="3317" max="3317" width="16.42578125" style="53" customWidth="1"/>
    <col min="3318" max="3318" width="4.5703125" style="53" customWidth="1"/>
    <col min="3319" max="3319" width="14.140625" style="53" customWidth="1"/>
    <col min="3320" max="3320" width="27.140625" style="53" customWidth="1"/>
    <col min="3321" max="3321" width="16.28515625" style="53" customWidth="1"/>
    <col min="3322" max="3322" width="13.85546875" style="53" customWidth="1"/>
    <col min="3323" max="3565" width="9.140625" style="53"/>
    <col min="3566" max="3566" width="1.7109375" style="53" customWidth="1"/>
    <col min="3567" max="3568" width="4.7109375" style="53" customWidth="1"/>
    <col min="3569" max="3569" width="54.140625" style="53" customWidth="1"/>
    <col min="3570" max="3570" width="52" style="53" customWidth="1"/>
    <col min="3571" max="3571" width="5.28515625" style="53" customWidth="1"/>
    <col min="3572" max="3572" width="5.85546875" style="53" bestFit="1" customWidth="1"/>
    <col min="3573" max="3573" width="16.42578125" style="53" customWidth="1"/>
    <col min="3574" max="3574" width="4.5703125" style="53" customWidth="1"/>
    <col min="3575" max="3575" width="14.140625" style="53" customWidth="1"/>
    <col min="3576" max="3576" width="27.140625" style="53" customWidth="1"/>
    <col min="3577" max="3577" width="16.28515625" style="53" customWidth="1"/>
    <col min="3578" max="3578" width="13.85546875" style="53" customWidth="1"/>
    <col min="3579" max="3821" width="9.140625" style="53"/>
    <col min="3822" max="3822" width="1.7109375" style="53" customWidth="1"/>
    <col min="3823" max="3824" width="4.7109375" style="53" customWidth="1"/>
    <col min="3825" max="3825" width="54.140625" style="53" customWidth="1"/>
    <col min="3826" max="3826" width="52" style="53" customWidth="1"/>
    <col min="3827" max="3827" width="5.28515625" style="53" customWidth="1"/>
    <col min="3828" max="3828" width="5.85546875" style="53" bestFit="1" customWidth="1"/>
    <col min="3829" max="3829" width="16.42578125" style="53" customWidth="1"/>
    <col min="3830" max="3830" width="4.5703125" style="53" customWidth="1"/>
    <col min="3831" max="3831" width="14.140625" style="53" customWidth="1"/>
    <col min="3832" max="3832" width="27.140625" style="53" customWidth="1"/>
    <col min="3833" max="3833" width="16.28515625" style="53" customWidth="1"/>
    <col min="3834" max="3834" width="13.85546875" style="53" customWidth="1"/>
    <col min="3835" max="4077" width="9.140625" style="53"/>
    <col min="4078" max="4078" width="1.7109375" style="53" customWidth="1"/>
    <col min="4079" max="4080" width="4.7109375" style="53" customWidth="1"/>
    <col min="4081" max="4081" width="54.140625" style="53" customWidth="1"/>
    <col min="4082" max="4082" width="52" style="53" customWidth="1"/>
    <col min="4083" max="4083" width="5.28515625" style="53" customWidth="1"/>
    <col min="4084" max="4084" width="5.85546875" style="53" bestFit="1" customWidth="1"/>
    <col min="4085" max="4085" width="16.42578125" style="53" customWidth="1"/>
    <col min="4086" max="4086" width="4.5703125" style="53" customWidth="1"/>
    <col min="4087" max="4087" width="14.140625" style="53" customWidth="1"/>
    <col min="4088" max="4088" width="27.140625" style="53" customWidth="1"/>
    <col min="4089" max="4089" width="16.28515625" style="53" customWidth="1"/>
    <col min="4090" max="4090" width="13.85546875" style="53" customWidth="1"/>
    <col min="4091" max="4333" width="9.140625" style="53"/>
    <col min="4334" max="4334" width="1.7109375" style="53" customWidth="1"/>
    <col min="4335" max="4336" width="4.7109375" style="53" customWidth="1"/>
    <col min="4337" max="4337" width="54.140625" style="53" customWidth="1"/>
    <col min="4338" max="4338" width="52" style="53" customWidth="1"/>
    <col min="4339" max="4339" width="5.28515625" style="53" customWidth="1"/>
    <col min="4340" max="4340" width="5.85546875" style="53" bestFit="1" customWidth="1"/>
    <col min="4341" max="4341" width="16.42578125" style="53" customWidth="1"/>
    <col min="4342" max="4342" width="4.5703125" style="53" customWidth="1"/>
    <col min="4343" max="4343" width="14.140625" style="53" customWidth="1"/>
    <col min="4344" max="4344" width="27.140625" style="53" customWidth="1"/>
    <col min="4345" max="4345" width="16.28515625" style="53" customWidth="1"/>
    <col min="4346" max="4346" width="13.85546875" style="53" customWidth="1"/>
    <col min="4347" max="4589" width="9.140625" style="53"/>
    <col min="4590" max="4590" width="1.7109375" style="53" customWidth="1"/>
    <col min="4591" max="4592" width="4.7109375" style="53" customWidth="1"/>
    <col min="4593" max="4593" width="54.140625" style="53" customWidth="1"/>
    <col min="4594" max="4594" width="52" style="53" customWidth="1"/>
    <col min="4595" max="4595" width="5.28515625" style="53" customWidth="1"/>
    <col min="4596" max="4596" width="5.85546875" style="53" bestFit="1" customWidth="1"/>
    <col min="4597" max="4597" width="16.42578125" style="53" customWidth="1"/>
    <col min="4598" max="4598" width="4.5703125" style="53" customWidth="1"/>
    <col min="4599" max="4599" width="14.140625" style="53" customWidth="1"/>
    <col min="4600" max="4600" width="27.140625" style="53" customWidth="1"/>
    <col min="4601" max="4601" width="16.28515625" style="53" customWidth="1"/>
    <col min="4602" max="4602" width="13.85546875" style="53" customWidth="1"/>
    <col min="4603" max="4845" width="9.140625" style="53"/>
    <col min="4846" max="4846" width="1.7109375" style="53" customWidth="1"/>
    <col min="4847" max="4848" width="4.7109375" style="53" customWidth="1"/>
    <col min="4849" max="4849" width="54.140625" style="53" customWidth="1"/>
    <col min="4850" max="4850" width="52" style="53" customWidth="1"/>
    <col min="4851" max="4851" width="5.28515625" style="53" customWidth="1"/>
    <col min="4852" max="4852" width="5.85546875" style="53" bestFit="1" customWidth="1"/>
    <col min="4853" max="4853" width="16.42578125" style="53" customWidth="1"/>
    <col min="4854" max="4854" width="4.5703125" style="53" customWidth="1"/>
    <col min="4855" max="4855" width="14.140625" style="53" customWidth="1"/>
    <col min="4856" max="4856" width="27.140625" style="53" customWidth="1"/>
    <col min="4857" max="4857" width="16.28515625" style="53" customWidth="1"/>
    <col min="4858" max="4858" width="13.85546875" style="53" customWidth="1"/>
    <col min="4859" max="5101" width="9.140625" style="53"/>
    <col min="5102" max="5102" width="1.7109375" style="53" customWidth="1"/>
    <col min="5103" max="5104" width="4.7109375" style="53" customWidth="1"/>
    <col min="5105" max="5105" width="54.140625" style="53" customWidth="1"/>
    <col min="5106" max="5106" width="52" style="53" customWidth="1"/>
    <col min="5107" max="5107" width="5.28515625" style="53" customWidth="1"/>
    <col min="5108" max="5108" width="5.85546875" style="53" bestFit="1" customWidth="1"/>
    <col min="5109" max="5109" width="16.42578125" style="53" customWidth="1"/>
    <col min="5110" max="5110" width="4.5703125" style="53" customWidth="1"/>
    <col min="5111" max="5111" width="14.140625" style="53" customWidth="1"/>
    <col min="5112" max="5112" width="27.140625" style="53" customWidth="1"/>
    <col min="5113" max="5113" width="16.28515625" style="53" customWidth="1"/>
    <col min="5114" max="5114" width="13.85546875" style="53" customWidth="1"/>
    <col min="5115" max="5357" width="9.140625" style="53"/>
    <col min="5358" max="5358" width="1.7109375" style="53" customWidth="1"/>
    <col min="5359" max="5360" width="4.7109375" style="53" customWidth="1"/>
    <col min="5361" max="5361" width="54.140625" style="53" customWidth="1"/>
    <col min="5362" max="5362" width="52" style="53" customWidth="1"/>
    <col min="5363" max="5363" width="5.28515625" style="53" customWidth="1"/>
    <col min="5364" max="5364" width="5.85546875" style="53" bestFit="1" customWidth="1"/>
    <col min="5365" max="5365" width="16.42578125" style="53" customWidth="1"/>
    <col min="5366" max="5366" width="4.5703125" style="53" customWidth="1"/>
    <col min="5367" max="5367" width="14.140625" style="53" customWidth="1"/>
    <col min="5368" max="5368" width="27.140625" style="53" customWidth="1"/>
    <col min="5369" max="5369" width="16.28515625" style="53" customWidth="1"/>
    <col min="5370" max="5370" width="13.85546875" style="53" customWidth="1"/>
    <col min="5371" max="5613" width="9.140625" style="53"/>
    <col min="5614" max="5614" width="1.7109375" style="53" customWidth="1"/>
    <col min="5615" max="5616" width="4.7109375" style="53" customWidth="1"/>
    <col min="5617" max="5617" width="54.140625" style="53" customWidth="1"/>
    <col min="5618" max="5618" width="52" style="53" customWidth="1"/>
    <col min="5619" max="5619" width="5.28515625" style="53" customWidth="1"/>
    <col min="5620" max="5620" width="5.85546875" style="53" bestFit="1" customWidth="1"/>
    <col min="5621" max="5621" width="16.42578125" style="53" customWidth="1"/>
    <col min="5622" max="5622" width="4.5703125" style="53" customWidth="1"/>
    <col min="5623" max="5623" width="14.140625" style="53" customWidth="1"/>
    <col min="5624" max="5624" width="27.140625" style="53" customWidth="1"/>
    <col min="5625" max="5625" width="16.28515625" style="53" customWidth="1"/>
    <col min="5626" max="5626" width="13.85546875" style="53" customWidth="1"/>
    <col min="5627" max="5869" width="9.140625" style="53"/>
    <col min="5870" max="5870" width="1.7109375" style="53" customWidth="1"/>
    <col min="5871" max="5872" width="4.7109375" style="53" customWidth="1"/>
    <col min="5873" max="5873" width="54.140625" style="53" customWidth="1"/>
    <col min="5874" max="5874" width="52" style="53" customWidth="1"/>
    <col min="5875" max="5875" width="5.28515625" style="53" customWidth="1"/>
    <col min="5876" max="5876" width="5.85546875" style="53" bestFit="1" customWidth="1"/>
    <col min="5877" max="5877" width="16.42578125" style="53" customWidth="1"/>
    <col min="5878" max="5878" width="4.5703125" style="53" customWidth="1"/>
    <col min="5879" max="5879" width="14.140625" style="53" customWidth="1"/>
    <col min="5880" max="5880" width="27.140625" style="53" customWidth="1"/>
    <col min="5881" max="5881" width="16.28515625" style="53" customWidth="1"/>
    <col min="5882" max="5882" width="13.85546875" style="53" customWidth="1"/>
    <col min="5883" max="6125" width="9.140625" style="53"/>
    <col min="6126" max="6126" width="1.7109375" style="53" customWidth="1"/>
    <col min="6127" max="6128" width="4.7109375" style="53" customWidth="1"/>
    <col min="6129" max="6129" width="54.140625" style="53" customWidth="1"/>
    <col min="6130" max="6130" width="52" style="53" customWidth="1"/>
    <col min="6131" max="6131" width="5.28515625" style="53" customWidth="1"/>
    <col min="6132" max="6132" width="5.85546875" style="53" bestFit="1" customWidth="1"/>
    <col min="6133" max="6133" width="16.42578125" style="53" customWidth="1"/>
    <col min="6134" max="6134" width="4.5703125" style="53" customWidth="1"/>
    <col min="6135" max="6135" width="14.140625" style="53" customWidth="1"/>
    <col min="6136" max="6136" width="27.140625" style="53" customWidth="1"/>
    <col min="6137" max="6137" width="16.28515625" style="53" customWidth="1"/>
    <col min="6138" max="6138" width="13.85546875" style="53" customWidth="1"/>
    <col min="6139" max="6381" width="9.140625" style="53"/>
    <col min="6382" max="6382" width="1.7109375" style="53" customWidth="1"/>
    <col min="6383" max="6384" width="4.7109375" style="53" customWidth="1"/>
    <col min="6385" max="6385" width="54.140625" style="53" customWidth="1"/>
    <col min="6386" max="6386" width="52" style="53" customWidth="1"/>
    <col min="6387" max="6387" width="5.28515625" style="53" customWidth="1"/>
    <col min="6388" max="6388" width="5.85546875" style="53" bestFit="1" customWidth="1"/>
    <col min="6389" max="6389" width="16.42578125" style="53" customWidth="1"/>
    <col min="6390" max="6390" width="4.5703125" style="53" customWidth="1"/>
    <col min="6391" max="6391" width="14.140625" style="53" customWidth="1"/>
    <col min="6392" max="6392" width="27.140625" style="53" customWidth="1"/>
    <col min="6393" max="6393" width="16.28515625" style="53" customWidth="1"/>
    <col min="6394" max="6394" width="13.85546875" style="53" customWidth="1"/>
    <col min="6395" max="6637" width="9.140625" style="53"/>
    <col min="6638" max="6638" width="1.7109375" style="53" customWidth="1"/>
    <col min="6639" max="6640" width="4.7109375" style="53" customWidth="1"/>
    <col min="6641" max="6641" width="54.140625" style="53" customWidth="1"/>
    <col min="6642" max="6642" width="52" style="53" customWidth="1"/>
    <col min="6643" max="6643" width="5.28515625" style="53" customWidth="1"/>
    <col min="6644" max="6644" width="5.85546875" style="53" bestFit="1" customWidth="1"/>
    <col min="6645" max="6645" width="16.42578125" style="53" customWidth="1"/>
    <col min="6646" max="6646" width="4.5703125" style="53" customWidth="1"/>
    <col min="6647" max="6647" width="14.140625" style="53" customWidth="1"/>
    <col min="6648" max="6648" width="27.140625" style="53" customWidth="1"/>
    <col min="6649" max="6649" width="16.28515625" style="53" customWidth="1"/>
    <col min="6650" max="6650" width="13.85546875" style="53" customWidth="1"/>
    <col min="6651" max="6893" width="9.140625" style="53"/>
    <col min="6894" max="6894" width="1.7109375" style="53" customWidth="1"/>
    <col min="6895" max="6896" width="4.7109375" style="53" customWidth="1"/>
    <col min="6897" max="6897" width="54.140625" style="53" customWidth="1"/>
    <col min="6898" max="6898" width="52" style="53" customWidth="1"/>
    <col min="6899" max="6899" width="5.28515625" style="53" customWidth="1"/>
    <col min="6900" max="6900" width="5.85546875" style="53" bestFit="1" customWidth="1"/>
    <col min="6901" max="6901" width="16.42578125" style="53" customWidth="1"/>
    <col min="6902" max="6902" width="4.5703125" style="53" customWidth="1"/>
    <col min="6903" max="6903" width="14.140625" style="53" customWidth="1"/>
    <col min="6904" max="6904" width="27.140625" style="53" customWidth="1"/>
    <col min="6905" max="6905" width="16.28515625" style="53" customWidth="1"/>
    <col min="6906" max="6906" width="13.85546875" style="53" customWidth="1"/>
    <col min="6907" max="7149" width="9.140625" style="53"/>
    <col min="7150" max="7150" width="1.7109375" style="53" customWidth="1"/>
    <col min="7151" max="7152" width="4.7109375" style="53" customWidth="1"/>
    <col min="7153" max="7153" width="54.140625" style="53" customWidth="1"/>
    <col min="7154" max="7154" width="52" style="53" customWidth="1"/>
    <col min="7155" max="7155" width="5.28515625" style="53" customWidth="1"/>
    <col min="7156" max="7156" width="5.85546875" style="53" bestFit="1" customWidth="1"/>
    <col min="7157" max="7157" width="16.42578125" style="53" customWidth="1"/>
    <col min="7158" max="7158" width="4.5703125" style="53" customWidth="1"/>
    <col min="7159" max="7159" width="14.140625" style="53" customWidth="1"/>
    <col min="7160" max="7160" width="27.140625" style="53" customWidth="1"/>
    <col min="7161" max="7161" width="16.28515625" style="53" customWidth="1"/>
    <col min="7162" max="7162" width="13.85546875" style="53" customWidth="1"/>
    <col min="7163" max="7405" width="9.140625" style="53"/>
    <col min="7406" max="7406" width="1.7109375" style="53" customWidth="1"/>
    <col min="7407" max="7408" width="4.7109375" style="53" customWidth="1"/>
    <col min="7409" max="7409" width="54.140625" style="53" customWidth="1"/>
    <col min="7410" max="7410" width="52" style="53" customWidth="1"/>
    <col min="7411" max="7411" width="5.28515625" style="53" customWidth="1"/>
    <col min="7412" max="7412" width="5.85546875" style="53" bestFit="1" customWidth="1"/>
    <col min="7413" max="7413" width="16.42578125" style="53" customWidth="1"/>
    <col min="7414" max="7414" width="4.5703125" style="53" customWidth="1"/>
    <col min="7415" max="7415" width="14.140625" style="53" customWidth="1"/>
    <col min="7416" max="7416" width="27.140625" style="53" customWidth="1"/>
    <col min="7417" max="7417" width="16.28515625" style="53" customWidth="1"/>
    <col min="7418" max="7418" width="13.85546875" style="53" customWidth="1"/>
    <col min="7419" max="7661" width="9.140625" style="53"/>
    <col min="7662" max="7662" width="1.7109375" style="53" customWidth="1"/>
    <col min="7663" max="7664" width="4.7109375" style="53" customWidth="1"/>
    <col min="7665" max="7665" width="54.140625" style="53" customWidth="1"/>
    <col min="7666" max="7666" width="52" style="53" customWidth="1"/>
    <col min="7667" max="7667" width="5.28515625" style="53" customWidth="1"/>
    <col min="7668" max="7668" width="5.85546875" style="53" bestFit="1" customWidth="1"/>
    <col min="7669" max="7669" width="16.42578125" style="53" customWidth="1"/>
    <col min="7670" max="7670" width="4.5703125" style="53" customWidth="1"/>
    <col min="7671" max="7671" width="14.140625" style="53" customWidth="1"/>
    <col min="7672" max="7672" width="27.140625" style="53" customWidth="1"/>
    <col min="7673" max="7673" width="16.28515625" style="53" customWidth="1"/>
    <col min="7674" max="7674" width="13.85546875" style="53" customWidth="1"/>
    <col min="7675" max="7917" width="9.140625" style="53"/>
    <col min="7918" max="7918" width="1.7109375" style="53" customWidth="1"/>
    <col min="7919" max="7920" width="4.7109375" style="53" customWidth="1"/>
    <col min="7921" max="7921" width="54.140625" style="53" customWidth="1"/>
    <col min="7922" max="7922" width="52" style="53" customWidth="1"/>
    <col min="7923" max="7923" width="5.28515625" style="53" customWidth="1"/>
    <col min="7924" max="7924" width="5.85546875" style="53" bestFit="1" customWidth="1"/>
    <col min="7925" max="7925" width="16.42578125" style="53" customWidth="1"/>
    <col min="7926" max="7926" width="4.5703125" style="53" customWidth="1"/>
    <col min="7927" max="7927" width="14.140625" style="53" customWidth="1"/>
    <col min="7928" max="7928" width="27.140625" style="53" customWidth="1"/>
    <col min="7929" max="7929" width="16.28515625" style="53" customWidth="1"/>
    <col min="7930" max="7930" width="13.85546875" style="53" customWidth="1"/>
    <col min="7931" max="8173" width="9.140625" style="53"/>
    <col min="8174" max="8174" width="1.7109375" style="53" customWidth="1"/>
    <col min="8175" max="8176" width="4.7109375" style="53" customWidth="1"/>
    <col min="8177" max="8177" width="54.140625" style="53" customWidth="1"/>
    <col min="8178" max="8178" width="52" style="53" customWidth="1"/>
    <col min="8179" max="8179" width="5.28515625" style="53" customWidth="1"/>
    <col min="8180" max="8180" width="5.85546875" style="53" bestFit="1" customWidth="1"/>
    <col min="8181" max="8181" width="16.42578125" style="53" customWidth="1"/>
    <col min="8182" max="8182" width="4.5703125" style="53" customWidth="1"/>
    <col min="8183" max="8183" width="14.140625" style="53" customWidth="1"/>
    <col min="8184" max="8184" width="27.140625" style="53" customWidth="1"/>
    <col min="8185" max="8185" width="16.28515625" style="53" customWidth="1"/>
    <col min="8186" max="8186" width="13.85546875" style="53" customWidth="1"/>
    <col min="8187" max="8429" width="9.140625" style="53"/>
    <col min="8430" max="8430" width="1.7109375" style="53" customWidth="1"/>
    <col min="8431" max="8432" width="4.7109375" style="53" customWidth="1"/>
    <col min="8433" max="8433" width="54.140625" style="53" customWidth="1"/>
    <col min="8434" max="8434" width="52" style="53" customWidth="1"/>
    <col min="8435" max="8435" width="5.28515625" style="53" customWidth="1"/>
    <col min="8436" max="8436" width="5.85546875" style="53" bestFit="1" customWidth="1"/>
    <col min="8437" max="8437" width="16.42578125" style="53" customWidth="1"/>
    <col min="8438" max="8438" width="4.5703125" style="53" customWidth="1"/>
    <col min="8439" max="8439" width="14.140625" style="53" customWidth="1"/>
    <col min="8440" max="8440" width="27.140625" style="53" customWidth="1"/>
    <col min="8441" max="8441" width="16.28515625" style="53" customWidth="1"/>
    <col min="8442" max="8442" width="13.85546875" style="53" customWidth="1"/>
    <col min="8443" max="8685" width="9.140625" style="53"/>
    <col min="8686" max="8686" width="1.7109375" style="53" customWidth="1"/>
    <col min="8687" max="8688" width="4.7109375" style="53" customWidth="1"/>
    <col min="8689" max="8689" width="54.140625" style="53" customWidth="1"/>
    <col min="8690" max="8690" width="52" style="53" customWidth="1"/>
    <col min="8691" max="8691" width="5.28515625" style="53" customWidth="1"/>
    <col min="8692" max="8692" width="5.85546875" style="53" bestFit="1" customWidth="1"/>
    <col min="8693" max="8693" width="16.42578125" style="53" customWidth="1"/>
    <col min="8694" max="8694" width="4.5703125" style="53" customWidth="1"/>
    <col min="8695" max="8695" width="14.140625" style="53" customWidth="1"/>
    <col min="8696" max="8696" width="27.140625" style="53" customWidth="1"/>
    <col min="8697" max="8697" width="16.28515625" style="53" customWidth="1"/>
    <col min="8698" max="8698" width="13.85546875" style="53" customWidth="1"/>
    <col min="8699" max="8941" width="9.140625" style="53"/>
    <col min="8942" max="8942" width="1.7109375" style="53" customWidth="1"/>
    <col min="8943" max="8944" width="4.7109375" style="53" customWidth="1"/>
    <col min="8945" max="8945" width="54.140625" style="53" customWidth="1"/>
    <col min="8946" max="8946" width="52" style="53" customWidth="1"/>
    <col min="8947" max="8947" width="5.28515625" style="53" customWidth="1"/>
    <col min="8948" max="8948" width="5.85546875" style="53" bestFit="1" customWidth="1"/>
    <col min="8949" max="8949" width="16.42578125" style="53" customWidth="1"/>
    <col min="8950" max="8950" width="4.5703125" style="53" customWidth="1"/>
    <col min="8951" max="8951" width="14.140625" style="53" customWidth="1"/>
    <col min="8952" max="8952" width="27.140625" style="53" customWidth="1"/>
    <col min="8953" max="8953" width="16.28515625" style="53" customWidth="1"/>
    <col min="8954" max="8954" width="13.85546875" style="53" customWidth="1"/>
    <col min="8955" max="9197" width="9.140625" style="53"/>
    <col min="9198" max="9198" width="1.7109375" style="53" customWidth="1"/>
    <col min="9199" max="9200" width="4.7109375" style="53" customWidth="1"/>
    <col min="9201" max="9201" width="54.140625" style="53" customWidth="1"/>
    <col min="9202" max="9202" width="52" style="53" customWidth="1"/>
    <col min="9203" max="9203" width="5.28515625" style="53" customWidth="1"/>
    <col min="9204" max="9204" width="5.85546875" style="53" bestFit="1" customWidth="1"/>
    <col min="9205" max="9205" width="16.42578125" style="53" customWidth="1"/>
    <col min="9206" max="9206" width="4.5703125" style="53" customWidth="1"/>
    <col min="9207" max="9207" width="14.140625" style="53" customWidth="1"/>
    <col min="9208" max="9208" width="27.140625" style="53" customWidth="1"/>
    <col min="9209" max="9209" width="16.28515625" style="53" customWidth="1"/>
    <col min="9210" max="9210" width="13.85546875" style="53" customWidth="1"/>
    <col min="9211" max="9453" width="9.140625" style="53"/>
    <col min="9454" max="9454" width="1.7109375" style="53" customWidth="1"/>
    <col min="9455" max="9456" width="4.7109375" style="53" customWidth="1"/>
    <col min="9457" max="9457" width="54.140625" style="53" customWidth="1"/>
    <col min="9458" max="9458" width="52" style="53" customWidth="1"/>
    <col min="9459" max="9459" width="5.28515625" style="53" customWidth="1"/>
    <col min="9460" max="9460" width="5.85546875" style="53" bestFit="1" customWidth="1"/>
    <col min="9461" max="9461" width="16.42578125" style="53" customWidth="1"/>
    <col min="9462" max="9462" width="4.5703125" style="53" customWidth="1"/>
    <col min="9463" max="9463" width="14.140625" style="53" customWidth="1"/>
    <col min="9464" max="9464" width="27.140625" style="53" customWidth="1"/>
    <col min="9465" max="9465" width="16.28515625" style="53" customWidth="1"/>
    <col min="9466" max="9466" width="13.85546875" style="53" customWidth="1"/>
    <col min="9467" max="9709" width="9.140625" style="53"/>
    <col min="9710" max="9710" width="1.7109375" style="53" customWidth="1"/>
    <col min="9711" max="9712" width="4.7109375" style="53" customWidth="1"/>
    <col min="9713" max="9713" width="54.140625" style="53" customWidth="1"/>
    <col min="9714" max="9714" width="52" style="53" customWidth="1"/>
    <col min="9715" max="9715" width="5.28515625" style="53" customWidth="1"/>
    <col min="9716" max="9716" width="5.85546875" style="53" bestFit="1" customWidth="1"/>
    <col min="9717" max="9717" width="16.42578125" style="53" customWidth="1"/>
    <col min="9718" max="9718" width="4.5703125" style="53" customWidth="1"/>
    <col min="9719" max="9719" width="14.140625" style="53" customWidth="1"/>
    <col min="9720" max="9720" width="27.140625" style="53" customWidth="1"/>
    <col min="9721" max="9721" width="16.28515625" style="53" customWidth="1"/>
    <col min="9722" max="9722" width="13.85546875" style="53" customWidth="1"/>
    <col min="9723" max="9965" width="9.140625" style="53"/>
    <col min="9966" max="9966" width="1.7109375" style="53" customWidth="1"/>
    <col min="9967" max="9968" width="4.7109375" style="53" customWidth="1"/>
    <col min="9969" max="9969" width="54.140625" style="53" customWidth="1"/>
    <col min="9970" max="9970" width="52" style="53" customWidth="1"/>
    <col min="9971" max="9971" width="5.28515625" style="53" customWidth="1"/>
    <col min="9972" max="9972" width="5.85546875" style="53" bestFit="1" customWidth="1"/>
    <col min="9973" max="9973" width="16.42578125" style="53" customWidth="1"/>
    <col min="9974" max="9974" width="4.5703125" style="53" customWidth="1"/>
    <col min="9975" max="9975" width="14.140625" style="53" customWidth="1"/>
    <col min="9976" max="9976" width="27.140625" style="53" customWidth="1"/>
    <col min="9977" max="9977" width="16.28515625" style="53" customWidth="1"/>
    <col min="9978" max="9978" width="13.85546875" style="53" customWidth="1"/>
    <col min="9979" max="10221" width="9.140625" style="53"/>
    <col min="10222" max="10222" width="1.7109375" style="53" customWidth="1"/>
    <col min="10223" max="10224" width="4.7109375" style="53" customWidth="1"/>
    <col min="10225" max="10225" width="54.140625" style="53" customWidth="1"/>
    <col min="10226" max="10226" width="52" style="53" customWidth="1"/>
    <col min="10227" max="10227" width="5.28515625" style="53" customWidth="1"/>
    <col min="10228" max="10228" width="5.85546875" style="53" bestFit="1" customWidth="1"/>
    <col min="10229" max="10229" width="16.42578125" style="53" customWidth="1"/>
    <col min="10230" max="10230" width="4.5703125" style="53" customWidth="1"/>
    <col min="10231" max="10231" width="14.140625" style="53" customWidth="1"/>
    <col min="10232" max="10232" width="27.140625" style="53" customWidth="1"/>
    <col min="10233" max="10233" width="16.28515625" style="53" customWidth="1"/>
    <col min="10234" max="10234" width="13.85546875" style="53" customWidth="1"/>
    <col min="10235" max="10477" width="9.140625" style="53"/>
    <col min="10478" max="10478" width="1.7109375" style="53" customWidth="1"/>
    <col min="10479" max="10480" width="4.7109375" style="53" customWidth="1"/>
    <col min="10481" max="10481" width="54.140625" style="53" customWidth="1"/>
    <col min="10482" max="10482" width="52" style="53" customWidth="1"/>
    <col min="10483" max="10483" width="5.28515625" style="53" customWidth="1"/>
    <col min="10484" max="10484" width="5.85546875" style="53" bestFit="1" customWidth="1"/>
    <col min="10485" max="10485" width="16.42578125" style="53" customWidth="1"/>
    <col min="10486" max="10486" width="4.5703125" style="53" customWidth="1"/>
    <col min="10487" max="10487" width="14.140625" style="53" customWidth="1"/>
    <col min="10488" max="10488" width="27.140625" style="53" customWidth="1"/>
    <col min="10489" max="10489" width="16.28515625" style="53" customWidth="1"/>
    <col min="10490" max="10490" width="13.85546875" style="53" customWidth="1"/>
    <col min="10491" max="10733" width="9.140625" style="53"/>
    <col min="10734" max="10734" width="1.7109375" style="53" customWidth="1"/>
    <col min="10735" max="10736" width="4.7109375" style="53" customWidth="1"/>
    <col min="10737" max="10737" width="54.140625" style="53" customWidth="1"/>
    <col min="10738" max="10738" width="52" style="53" customWidth="1"/>
    <col min="10739" max="10739" width="5.28515625" style="53" customWidth="1"/>
    <col min="10740" max="10740" width="5.85546875" style="53" bestFit="1" customWidth="1"/>
    <col min="10741" max="10741" width="16.42578125" style="53" customWidth="1"/>
    <col min="10742" max="10742" width="4.5703125" style="53" customWidth="1"/>
    <col min="10743" max="10743" width="14.140625" style="53" customWidth="1"/>
    <col min="10744" max="10744" width="27.140625" style="53" customWidth="1"/>
    <col min="10745" max="10745" width="16.28515625" style="53" customWidth="1"/>
    <col min="10746" max="10746" width="13.85546875" style="53" customWidth="1"/>
    <col min="10747" max="10989" width="9.140625" style="53"/>
    <col min="10990" max="10990" width="1.7109375" style="53" customWidth="1"/>
    <col min="10991" max="10992" width="4.7109375" style="53" customWidth="1"/>
    <col min="10993" max="10993" width="54.140625" style="53" customWidth="1"/>
    <col min="10994" max="10994" width="52" style="53" customWidth="1"/>
    <col min="10995" max="10995" width="5.28515625" style="53" customWidth="1"/>
    <col min="10996" max="10996" width="5.85546875" style="53" bestFit="1" customWidth="1"/>
    <col min="10997" max="10997" width="16.42578125" style="53" customWidth="1"/>
    <col min="10998" max="10998" width="4.5703125" style="53" customWidth="1"/>
    <col min="10999" max="10999" width="14.140625" style="53" customWidth="1"/>
    <col min="11000" max="11000" width="27.140625" style="53" customWidth="1"/>
    <col min="11001" max="11001" width="16.28515625" style="53" customWidth="1"/>
    <col min="11002" max="11002" width="13.85546875" style="53" customWidth="1"/>
    <col min="11003" max="11245" width="9.140625" style="53"/>
    <col min="11246" max="11246" width="1.7109375" style="53" customWidth="1"/>
    <col min="11247" max="11248" width="4.7109375" style="53" customWidth="1"/>
    <col min="11249" max="11249" width="54.140625" style="53" customWidth="1"/>
    <col min="11250" max="11250" width="52" style="53" customWidth="1"/>
    <col min="11251" max="11251" width="5.28515625" style="53" customWidth="1"/>
    <col min="11252" max="11252" width="5.85546875" style="53" bestFit="1" customWidth="1"/>
    <col min="11253" max="11253" width="16.42578125" style="53" customWidth="1"/>
    <col min="11254" max="11254" width="4.5703125" style="53" customWidth="1"/>
    <col min="11255" max="11255" width="14.140625" style="53" customWidth="1"/>
    <col min="11256" max="11256" width="27.140625" style="53" customWidth="1"/>
    <col min="11257" max="11257" width="16.28515625" style="53" customWidth="1"/>
    <col min="11258" max="11258" width="13.85546875" style="53" customWidth="1"/>
    <col min="11259" max="11501" width="9.140625" style="53"/>
    <col min="11502" max="11502" width="1.7109375" style="53" customWidth="1"/>
    <col min="11503" max="11504" width="4.7109375" style="53" customWidth="1"/>
    <col min="11505" max="11505" width="54.140625" style="53" customWidth="1"/>
    <col min="11506" max="11506" width="52" style="53" customWidth="1"/>
    <col min="11507" max="11507" width="5.28515625" style="53" customWidth="1"/>
    <col min="11508" max="11508" width="5.85546875" style="53" bestFit="1" customWidth="1"/>
    <col min="11509" max="11509" width="16.42578125" style="53" customWidth="1"/>
    <col min="11510" max="11510" width="4.5703125" style="53" customWidth="1"/>
    <col min="11511" max="11511" width="14.140625" style="53" customWidth="1"/>
    <col min="11512" max="11512" width="27.140625" style="53" customWidth="1"/>
    <col min="11513" max="11513" width="16.28515625" style="53" customWidth="1"/>
    <col min="11514" max="11514" width="13.85546875" style="53" customWidth="1"/>
    <col min="11515" max="11757" width="9.140625" style="53"/>
    <col min="11758" max="11758" width="1.7109375" style="53" customWidth="1"/>
    <col min="11759" max="11760" width="4.7109375" style="53" customWidth="1"/>
    <col min="11761" max="11761" width="54.140625" style="53" customWidth="1"/>
    <col min="11762" max="11762" width="52" style="53" customWidth="1"/>
    <col min="11763" max="11763" width="5.28515625" style="53" customWidth="1"/>
    <col min="11764" max="11764" width="5.85546875" style="53" bestFit="1" customWidth="1"/>
    <col min="11765" max="11765" width="16.42578125" style="53" customWidth="1"/>
    <col min="11766" max="11766" width="4.5703125" style="53" customWidth="1"/>
    <col min="11767" max="11767" width="14.140625" style="53" customWidth="1"/>
    <col min="11768" max="11768" width="27.140625" style="53" customWidth="1"/>
    <col min="11769" max="11769" width="16.28515625" style="53" customWidth="1"/>
    <col min="11770" max="11770" width="13.85546875" style="53" customWidth="1"/>
    <col min="11771" max="12013" width="9.140625" style="53"/>
    <col min="12014" max="12014" width="1.7109375" style="53" customWidth="1"/>
    <col min="12015" max="12016" width="4.7109375" style="53" customWidth="1"/>
    <col min="12017" max="12017" width="54.140625" style="53" customWidth="1"/>
    <col min="12018" max="12018" width="52" style="53" customWidth="1"/>
    <col min="12019" max="12019" width="5.28515625" style="53" customWidth="1"/>
    <col min="12020" max="12020" width="5.85546875" style="53" bestFit="1" customWidth="1"/>
    <col min="12021" max="12021" width="16.42578125" style="53" customWidth="1"/>
    <col min="12022" max="12022" width="4.5703125" style="53" customWidth="1"/>
    <col min="12023" max="12023" width="14.140625" style="53" customWidth="1"/>
    <col min="12024" max="12024" width="27.140625" style="53" customWidth="1"/>
    <col min="12025" max="12025" width="16.28515625" style="53" customWidth="1"/>
    <col min="12026" max="12026" width="13.85546875" style="53" customWidth="1"/>
    <col min="12027" max="12269" width="9.140625" style="53"/>
    <col min="12270" max="12270" width="1.7109375" style="53" customWidth="1"/>
    <col min="12271" max="12272" width="4.7109375" style="53" customWidth="1"/>
    <col min="12273" max="12273" width="54.140625" style="53" customWidth="1"/>
    <col min="12274" max="12274" width="52" style="53" customWidth="1"/>
    <col min="12275" max="12275" width="5.28515625" style="53" customWidth="1"/>
    <col min="12276" max="12276" width="5.85546875" style="53" bestFit="1" customWidth="1"/>
    <col min="12277" max="12277" width="16.42578125" style="53" customWidth="1"/>
    <col min="12278" max="12278" width="4.5703125" style="53" customWidth="1"/>
    <col min="12279" max="12279" width="14.140625" style="53" customWidth="1"/>
    <col min="12280" max="12280" width="27.140625" style="53" customWidth="1"/>
    <col min="12281" max="12281" width="16.28515625" style="53" customWidth="1"/>
    <col min="12282" max="12282" width="13.85546875" style="53" customWidth="1"/>
    <col min="12283" max="12525" width="9.140625" style="53"/>
    <col min="12526" max="12526" width="1.7109375" style="53" customWidth="1"/>
    <col min="12527" max="12528" width="4.7109375" style="53" customWidth="1"/>
    <col min="12529" max="12529" width="54.140625" style="53" customWidth="1"/>
    <col min="12530" max="12530" width="52" style="53" customWidth="1"/>
    <col min="12531" max="12531" width="5.28515625" style="53" customWidth="1"/>
    <col min="12532" max="12532" width="5.85546875" style="53" bestFit="1" customWidth="1"/>
    <col min="12533" max="12533" width="16.42578125" style="53" customWidth="1"/>
    <col min="12534" max="12534" width="4.5703125" style="53" customWidth="1"/>
    <col min="12535" max="12535" width="14.140625" style="53" customWidth="1"/>
    <col min="12536" max="12536" width="27.140625" style="53" customWidth="1"/>
    <col min="12537" max="12537" width="16.28515625" style="53" customWidth="1"/>
    <col min="12538" max="12538" width="13.85546875" style="53" customWidth="1"/>
    <col min="12539" max="12781" width="9.140625" style="53"/>
    <col min="12782" max="12782" width="1.7109375" style="53" customWidth="1"/>
    <col min="12783" max="12784" width="4.7109375" style="53" customWidth="1"/>
    <col min="12785" max="12785" width="54.140625" style="53" customWidth="1"/>
    <col min="12786" max="12786" width="52" style="53" customWidth="1"/>
    <col min="12787" max="12787" width="5.28515625" style="53" customWidth="1"/>
    <col min="12788" max="12788" width="5.85546875" style="53" bestFit="1" customWidth="1"/>
    <col min="12789" max="12789" width="16.42578125" style="53" customWidth="1"/>
    <col min="12790" max="12790" width="4.5703125" style="53" customWidth="1"/>
    <col min="12791" max="12791" width="14.140625" style="53" customWidth="1"/>
    <col min="12792" max="12792" width="27.140625" style="53" customWidth="1"/>
    <col min="12793" max="12793" width="16.28515625" style="53" customWidth="1"/>
    <col min="12794" max="12794" width="13.85546875" style="53" customWidth="1"/>
    <col min="12795" max="13037" width="9.140625" style="53"/>
    <col min="13038" max="13038" width="1.7109375" style="53" customWidth="1"/>
    <col min="13039" max="13040" width="4.7109375" style="53" customWidth="1"/>
    <col min="13041" max="13041" width="54.140625" style="53" customWidth="1"/>
    <col min="13042" max="13042" width="52" style="53" customWidth="1"/>
    <col min="13043" max="13043" width="5.28515625" style="53" customWidth="1"/>
    <col min="13044" max="13044" width="5.85546875" style="53" bestFit="1" customWidth="1"/>
    <col min="13045" max="13045" width="16.42578125" style="53" customWidth="1"/>
    <col min="13046" max="13046" width="4.5703125" style="53" customWidth="1"/>
    <col min="13047" max="13047" width="14.140625" style="53" customWidth="1"/>
    <col min="13048" max="13048" width="27.140625" style="53" customWidth="1"/>
    <col min="13049" max="13049" width="16.28515625" style="53" customWidth="1"/>
    <col min="13050" max="13050" width="13.85546875" style="53" customWidth="1"/>
    <col min="13051" max="13293" width="9.140625" style="53"/>
    <col min="13294" max="13294" width="1.7109375" style="53" customWidth="1"/>
    <col min="13295" max="13296" width="4.7109375" style="53" customWidth="1"/>
    <col min="13297" max="13297" width="54.140625" style="53" customWidth="1"/>
    <col min="13298" max="13298" width="52" style="53" customWidth="1"/>
    <col min="13299" max="13299" width="5.28515625" style="53" customWidth="1"/>
    <col min="13300" max="13300" width="5.85546875" style="53" bestFit="1" customWidth="1"/>
    <col min="13301" max="13301" width="16.42578125" style="53" customWidth="1"/>
    <col min="13302" max="13302" width="4.5703125" style="53" customWidth="1"/>
    <col min="13303" max="13303" width="14.140625" style="53" customWidth="1"/>
    <col min="13304" max="13304" width="27.140625" style="53" customWidth="1"/>
    <col min="13305" max="13305" width="16.28515625" style="53" customWidth="1"/>
    <col min="13306" max="13306" width="13.85546875" style="53" customWidth="1"/>
    <col min="13307" max="13549" width="9.140625" style="53"/>
    <col min="13550" max="13550" width="1.7109375" style="53" customWidth="1"/>
    <col min="13551" max="13552" width="4.7109375" style="53" customWidth="1"/>
    <col min="13553" max="13553" width="54.140625" style="53" customWidth="1"/>
    <col min="13554" max="13554" width="52" style="53" customWidth="1"/>
    <col min="13555" max="13555" width="5.28515625" style="53" customWidth="1"/>
    <col min="13556" max="13556" width="5.85546875" style="53" bestFit="1" customWidth="1"/>
    <col min="13557" max="13557" width="16.42578125" style="53" customWidth="1"/>
    <col min="13558" max="13558" width="4.5703125" style="53" customWidth="1"/>
    <col min="13559" max="13559" width="14.140625" style="53" customWidth="1"/>
    <col min="13560" max="13560" width="27.140625" style="53" customWidth="1"/>
    <col min="13561" max="13561" width="16.28515625" style="53" customWidth="1"/>
    <col min="13562" max="13562" width="13.85546875" style="53" customWidth="1"/>
    <col min="13563" max="13805" width="9.140625" style="53"/>
    <col min="13806" max="13806" width="1.7109375" style="53" customWidth="1"/>
    <col min="13807" max="13808" width="4.7109375" style="53" customWidth="1"/>
    <col min="13809" max="13809" width="54.140625" style="53" customWidth="1"/>
    <col min="13810" max="13810" width="52" style="53" customWidth="1"/>
    <col min="13811" max="13811" width="5.28515625" style="53" customWidth="1"/>
    <col min="13812" max="13812" width="5.85546875" style="53" bestFit="1" customWidth="1"/>
    <col min="13813" max="13813" width="16.42578125" style="53" customWidth="1"/>
    <col min="13814" max="13814" width="4.5703125" style="53" customWidth="1"/>
    <col min="13815" max="13815" width="14.140625" style="53" customWidth="1"/>
    <col min="13816" max="13816" width="27.140625" style="53" customWidth="1"/>
    <col min="13817" max="13817" width="16.28515625" style="53" customWidth="1"/>
    <col min="13818" max="13818" width="13.85546875" style="53" customWidth="1"/>
    <col min="13819" max="14061" width="9.140625" style="53"/>
    <col min="14062" max="14062" width="1.7109375" style="53" customWidth="1"/>
    <col min="14063" max="14064" width="4.7109375" style="53" customWidth="1"/>
    <col min="14065" max="14065" width="54.140625" style="53" customWidth="1"/>
    <col min="14066" max="14066" width="52" style="53" customWidth="1"/>
    <col min="14067" max="14067" width="5.28515625" style="53" customWidth="1"/>
    <col min="14068" max="14068" width="5.85546875" style="53" bestFit="1" customWidth="1"/>
    <col min="14069" max="14069" width="16.42578125" style="53" customWidth="1"/>
    <col min="14070" max="14070" width="4.5703125" style="53" customWidth="1"/>
    <col min="14071" max="14071" width="14.140625" style="53" customWidth="1"/>
    <col min="14072" max="14072" width="27.140625" style="53" customWidth="1"/>
    <col min="14073" max="14073" width="16.28515625" style="53" customWidth="1"/>
    <col min="14074" max="14074" width="13.85546875" style="53" customWidth="1"/>
    <col min="14075" max="14317" width="9.140625" style="53"/>
    <col min="14318" max="14318" width="1.7109375" style="53" customWidth="1"/>
    <col min="14319" max="14320" width="4.7109375" style="53" customWidth="1"/>
    <col min="14321" max="14321" width="54.140625" style="53" customWidth="1"/>
    <col min="14322" max="14322" width="52" style="53" customWidth="1"/>
    <col min="14323" max="14323" width="5.28515625" style="53" customWidth="1"/>
    <col min="14324" max="14324" width="5.85546875" style="53" bestFit="1" customWidth="1"/>
    <col min="14325" max="14325" width="16.42578125" style="53" customWidth="1"/>
    <col min="14326" max="14326" width="4.5703125" style="53" customWidth="1"/>
    <col min="14327" max="14327" width="14.140625" style="53" customWidth="1"/>
    <col min="14328" max="14328" width="27.140625" style="53" customWidth="1"/>
    <col min="14329" max="14329" width="16.28515625" style="53" customWidth="1"/>
    <col min="14330" max="14330" width="13.85546875" style="53" customWidth="1"/>
    <col min="14331" max="14573" width="9.140625" style="53"/>
    <col min="14574" max="14574" width="1.7109375" style="53" customWidth="1"/>
    <col min="14575" max="14576" width="4.7109375" style="53" customWidth="1"/>
    <col min="14577" max="14577" width="54.140625" style="53" customWidth="1"/>
    <col min="14578" max="14578" width="52" style="53" customWidth="1"/>
    <col min="14579" max="14579" width="5.28515625" style="53" customWidth="1"/>
    <col min="14580" max="14580" width="5.85546875" style="53" bestFit="1" customWidth="1"/>
    <col min="14581" max="14581" width="16.42578125" style="53" customWidth="1"/>
    <col min="14582" max="14582" width="4.5703125" style="53" customWidth="1"/>
    <col min="14583" max="14583" width="14.140625" style="53" customWidth="1"/>
    <col min="14584" max="14584" width="27.140625" style="53" customWidth="1"/>
    <col min="14585" max="14585" width="16.28515625" style="53" customWidth="1"/>
    <col min="14586" max="14586" width="13.85546875" style="53" customWidth="1"/>
    <col min="14587" max="14829" width="9.140625" style="53"/>
    <col min="14830" max="14830" width="1.7109375" style="53" customWidth="1"/>
    <col min="14831" max="14832" width="4.7109375" style="53" customWidth="1"/>
    <col min="14833" max="14833" width="54.140625" style="53" customWidth="1"/>
    <col min="14834" max="14834" width="52" style="53" customWidth="1"/>
    <col min="14835" max="14835" width="5.28515625" style="53" customWidth="1"/>
    <col min="14836" max="14836" width="5.85546875" style="53" bestFit="1" customWidth="1"/>
    <col min="14837" max="14837" width="16.42578125" style="53" customWidth="1"/>
    <col min="14838" max="14838" width="4.5703125" style="53" customWidth="1"/>
    <col min="14839" max="14839" width="14.140625" style="53" customWidth="1"/>
    <col min="14840" max="14840" width="27.140625" style="53" customWidth="1"/>
    <col min="14841" max="14841" width="16.28515625" style="53" customWidth="1"/>
    <col min="14842" max="14842" width="13.85546875" style="53" customWidth="1"/>
    <col min="14843" max="15085" width="9.140625" style="53"/>
    <col min="15086" max="15086" width="1.7109375" style="53" customWidth="1"/>
    <col min="15087" max="15088" width="4.7109375" style="53" customWidth="1"/>
    <col min="15089" max="15089" width="54.140625" style="53" customWidth="1"/>
    <col min="15090" max="15090" width="52" style="53" customWidth="1"/>
    <col min="15091" max="15091" width="5.28515625" style="53" customWidth="1"/>
    <col min="15092" max="15092" width="5.85546875" style="53" bestFit="1" customWidth="1"/>
    <col min="15093" max="15093" width="16.42578125" style="53" customWidth="1"/>
    <col min="15094" max="15094" width="4.5703125" style="53" customWidth="1"/>
    <col min="15095" max="15095" width="14.140625" style="53" customWidth="1"/>
    <col min="15096" max="15096" width="27.140625" style="53" customWidth="1"/>
    <col min="15097" max="15097" width="16.28515625" style="53" customWidth="1"/>
    <col min="15098" max="15098" width="13.85546875" style="53" customWidth="1"/>
    <col min="15099" max="15341" width="9.140625" style="53"/>
    <col min="15342" max="15342" width="1.7109375" style="53" customWidth="1"/>
    <col min="15343" max="15344" width="4.7109375" style="53" customWidth="1"/>
    <col min="15345" max="15345" width="54.140625" style="53" customWidth="1"/>
    <col min="15346" max="15346" width="52" style="53" customWidth="1"/>
    <col min="15347" max="15347" width="5.28515625" style="53" customWidth="1"/>
    <col min="15348" max="15348" width="5.85546875" style="53" bestFit="1" customWidth="1"/>
    <col min="15349" max="15349" width="16.42578125" style="53" customWidth="1"/>
    <col min="15350" max="15350" width="4.5703125" style="53" customWidth="1"/>
    <col min="15351" max="15351" width="14.140625" style="53" customWidth="1"/>
    <col min="15352" max="15352" width="27.140625" style="53" customWidth="1"/>
    <col min="15353" max="15353" width="16.28515625" style="53" customWidth="1"/>
    <col min="15354" max="15354" width="13.85546875" style="53" customWidth="1"/>
    <col min="15355" max="15597" width="9.140625" style="53"/>
    <col min="15598" max="15598" width="1.7109375" style="53" customWidth="1"/>
    <col min="15599" max="15600" width="4.7109375" style="53" customWidth="1"/>
    <col min="15601" max="15601" width="54.140625" style="53" customWidth="1"/>
    <col min="15602" max="15602" width="52" style="53" customWidth="1"/>
    <col min="15603" max="15603" width="5.28515625" style="53" customWidth="1"/>
    <col min="15604" max="15604" width="5.85546875" style="53" bestFit="1" customWidth="1"/>
    <col min="15605" max="15605" width="16.42578125" style="53" customWidth="1"/>
    <col min="15606" max="15606" width="4.5703125" style="53" customWidth="1"/>
    <col min="15607" max="15607" width="14.140625" style="53" customWidth="1"/>
    <col min="15608" max="15608" width="27.140625" style="53" customWidth="1"/>
    <col min="15609" max="15609" width="16.28515625" style="53" customWidth="1"/>
    <col min="15610" max="15610" width="13.85546875" style="53" customWidth="1"/>
    <col min="15611" max="15853" width="9.140625" style="53"/>
    <col min="15854" max="15854" width="1.7109375" style="53" customWidth="1"/>
    <col min="15855" max="15856" width="4.7109375" style="53" customWidth="1"/>
    <col min="15857" max="15857" width="54.140625" style="53" customWidth="1"/>
    <col min="15858" max="15858" width="52" style="53" customWidth="1"/>
    <col min="15859" max="15859" width="5.28515625" style="53" customWidth="1"/>
    <col min="15860" max="15860" width="5.85546875" style="53" bestFit="1" customWidth="1"/>
    <col min="15861" max="15861" width="16.42578125" style="53" customWidth="1"/>
    <col min="15862" max="15862" width="4.5703125" style="53" customWidth="1"/>
    <col min="15863" max="15863" width="14.140625" style="53" customWidth="1"/>
    <col min="15864" max="15864" width="27.140625" style="53" customWidth="1"/>
    <col min="15865" max="15865" width="16.28515625" style="53" customWidth="1"/>
    <col min="15866" max="15866" width="13.85546875" style="53" customWidth="1"/>
    <col min="15867" max="16109" width="9.140625" style="53"/>
    <col min="16110" max="16110" width="1.7109375" style="53" customWidth="1"/>
    <col min="16111" max="16112" width="4.7109375" style="53" customWidth="1"/>
    <col min="16113" max="16113" width="54.140625" style="53" customWidth="1"/>
    <col min="16114" max="16114" width="52" style="53" customWidth="1"/>
    <col min="16115" max="16115" width="5.28515625" style="53" customWidth="1"/>
    <col min="16116" max="16116" width="5.85546875" style="53" bestFit="1" customWidth="1"/>
    <col min="16117" max="16117" width="16.42578125" style="53" customWidth="1"/>
    <col min="16118" max="16118" width="4.5703125" style="53" customWidth="1"/>
    <col min="16119" max="16119" width="14.140625" style="53" customWidth="1"/>
    <col min="16120" max="16120" width="27.140625" style="53" customWidth="1"/>
    <col min="16121" max="16121" width="16.28515625" style="53" customWidth="1"/>
    <col min="16122" max="16122" width="13.85546875" style="53" customWidth="1"/>
    <col min="16123" max="16384" width="9.140625" style="53"/>
  </cols>
  <sheetData>
    <row r="1" spans="2:25" ht="15" customHeight="1" x14ac:dyDescent="0.25"/>
    <row r="2" spans="2:25" s="5" customFormat="1" ht="15.75" hidden="1" x14ac:dyDescent="0.25">
      <c r="B2" s="2"/>
      <c r="C2" s="1645" t="s">
        <v>431</v>
      </c>
      <c r="D2" s="1645"/>
      <c r="E2" s="1645"/>
      <c r="F2" s="1645"/>
      <c r="G2" s="1645"/>
      <c r="H2" s="1645"/>
      <c r="I2" s="1645"/>
      <c r="J2" s="1645"/>
      <c r="K2" s="1645"/>
      <c r="L2" s="1645"/>
      <c r="M2" s="1645"/>
      <c r="N2" s="1645"/>
      <c r="O2" s="1645"/>
      <c r="P2" s="451"/>
      <c r="Q2" s="451"/>
      <c r="R2" s="451"/>
      <c r="S2" s="3"/>
      <c r="T2" s="933"/>
    </row>
    <row r="3" spans="2:25" s="5" customFormat="1" ht="13.5" customHeight="1" x14ac:dyDescent="0.25">
      <c r="B3" s="2"/>
      <c r="C3" s="1646" t="s">
        <v>508</v>
      </c>
      <c r="D3" s="1646"/>
      <c r="E3" s="1646"/>
      <c r="F3" s="1646"/>
      <c r="G3" s="1646"/>
      <c r="H3" s="1646"/>
      <c r="I3" s="1646"/>
      <c r="J3" s="1646"/>
      <c r="K3" s="1646"/>
      <c r="L3" s="1646"/>
      <c r="M3" s="1646"/>
      <c r="N3" s="1646"/>
      <c r="O3" s="1646"/>
      <c r="P3" s="1646"/>
      <c r="Q3" s="681"/>
      <c r="R3" s="681"/>
      <c r="S3" s="481"/>
      <c r="T3" s="933"/>
    </row>
    <row r="4" spans="2:25" s="4" customFormat="1" ht="14.25" hidden="1" customHeight="1" x14ac:dyDescent="0.25">
      <c r="B4" s="2"/>
      <c r="C4" s="1646"/>
      <c r="D4" s="1646"/>
      <c r="E4" s="1646"/>
      <c r="F4" s="1646"/>
      <c r="G4" s="1646"/>
      <c r="H4" s="1646"/>
      <c r="I4" s="1646"/>
      <c r="J4" s="1646"/>
      <c r="K4" s="1646"/>
      <c r="L4" s="1646"/>
      <c r="M4" s="1646"/>
      <c r="N4" s="1646"/>
      <c r="O4" s="1646"/>
      <c r="P4" s="1646"/>
      <c r="Q4" s="681"/>
      <c r="R4" s="681"/>
      <c r="S4" s="481"/>
      <c r="T4" s="934"/>
    </row>
    <row r="5" spans="2:25" s="4" customFormat="1" ht="15.75" x14ac:dyDescent="0.25">
      <c r="B5" s="2"/>
      <c r="C5" s="452"/>
      <c r="D5" s="453"/>
      <c r="E5" s="453"/>
      <c r="F5" s="453"/>
      <c r="G5" s="454"/>
      <c r="H5" s="455"/>
      <c r="I5" s="456"/>
      <c r="J5" s="457"/>
      <c r="K5" s="457"/>
      <c r="L5" s="457"/>
      <c r="M5" s="457"/>
      <c r="N5" s="457"/>
      <c r="O5" s="457"/>
      <c r="P5" s="458"/>
      <c r="Q5" s="457"/>
      <c r="R5" s="456"/>
      <c r="S5" s="484"/>
      <c r="T5" s="934"/>
    </row>
    <row r="6" spans="2:25" s="4" customFormat="1" ht="18" customHeight="1" x14ac:dyDescent="0.25">
      <c r="B6" s="2"/>
      <c r="C6" s="1647" t="s">
        <v>2</v>
      </c>
      <c r="D6" s="1647"/>
      <c r="E6" s="1505" t="s">
        <v>3</v>
      </c>
      <c r="F6" s="1505"/>
      <c r="G6" s="1505"/>
      <c r="H6" s="459"/>
      <c r="I6" s="456"/>
      <c r="J6" s="457"/>
      <c r="K6" s="457"/>
      <c r="L6" s="457"/>
      <c r="M6" s="457"/>
      <c r="N6" s="457"/>
      <c r="O6" s="457"/>
      <c r="P6" s="458"/>
      <c r="Q6" s="457"/>
      <c r="R6" s="456"/>
      <c r="S6" s="484"/>
      <c r="T6" s="934"/>
    </row>
    <row r="7" spans="2:25" s="4" customFormat="1" ht="8.25" customHeight="1" thickBot="1" x14ac:dyDescent="0.3">
      <c r="B7" s="2"/>
      <c r="C7" s="6"/>
      <c r="D7" s="8"/>
      <c r="E7" s="8"/>
      <c r="F7" s="8"/>
      <c r="G7" s="9"/>
      <c r="H7" s="10"/>
      <c r="I7" s="11"/>
      <c r="J7" s="12"/>
      <c r="K7" s="12"/>
      <c r="L7" s="12"/>
      <c r="M7" s="12"/>
      <c r="N7" s="12"/>
      <c r="O7" s="12"/>
      <c r="P7" s="7"/>
      <c r="Q7" s="12"/>
      <c r="R7" s="11"/>
      <c r="S7" s="484"/>
      <c r="T7" s="934"/>
    </row>
    <row r="8" spans="2:25" s="15" customFormat="1" ht="25.5" customHeight="1" thickTop="1" x14ac:dyDescent="0.25">
      <c r="B8" s="13"/>
      <c r="C8" s="1648" t="s">
        <v>433</v>
      </c>
      <c r="D8" s="1649"/>
      <c r="E8" s="1650"/>
      <c r="F8" s="1654" t="s">
        <v>418</v>
      </c>
      <c r="G8" s="1650"/>
      <c r="H8" s="1656" t="s">
        <v>417</v>
      </c>
      <c r="I8" s="1658" t="s">
        <v>419</v>
      </c>
      <c r="J8" s="1662" t="s">
        <v>502</v>
      </c>
      <c r="K8" s="1662" t="s">
        <v>488</v>
      </c>
      <c r="L8" s="1709" t="s">
        <v>503</v>
      </c>
      <c r="M8" s="1709"/>
      <c r="N8" s="1709"/>
      <c r="O8" s="1666"/>
      <c r="P8" s="14"/>
      <c r="Q8" s="1666" t="s">
        <v>488</v>
      </c>
      <c r="R8" s="1643" t="s">
        <v>469</v>
      </c>
      <c r="S8" s="441"/>
      <c r="T8" s="396"/>
      <c r="V8" s="15">
        <v>0.15</v>
      </c>
      <c r="W8" s="15">
        <v>0.4</v>
      </c>
      <c r="X8" s="15">
        <v>0.3</v>
      </c>
      <c r="Y8" s="15">
        <v>0.15</v>
      </c>
    </row>
    <row r="9" spans="2:25" s="15" customFormat="1" ht="26.25" customHeight="1" thickBot="1" x14ac:dyDescent="0.3">
      <c r="B9" s="13"/>
      <c r="C9" s="1726"/>
      <c r="D9" s="1727"/>
      <c r="E9" s="1728"/>
      <c r="F9" s="1729"/>
      <c r="G9" s="1728"/>
      <c r="H9" s="1730"/>
      <c r="I9" s="1731"/>
      <c r="J9" s="1708"/>
      <c r="K9" s="1708"/>
      <c r="L9" s="861" t="s">
        <v>504</v>
      </c>
      <c r="M9" s="861" t="s">
        <v>505</v>
      </c>
      <c r="N9" s="861" t="s">
        <v>506</v>
      </c>
      <c r="O9" s="860" t="s">
        <v>507</v>
      </c>
      <c r="P9" s="14"/>
      <c r="Q9" s="1725"/>
      <c r="R9" s="1644"/>
      <c r="S9" s="14"/>
      <c r="T9" s="396"/>
      <c r="V9" s="17">
        <v>0.2</v>
      </c>
      <c r="W9" s="15">
        <v>0.4</v>
      </c>
      <c r="X9" s="15">
        <v>0.4</v>
      </c>
      <c r="Y9" s="15">
        <v>0</v>
      </c>
    </row>
    <row r="10" spans="2:25" s="15" customFormat="1" ht="19.5" hidden="1" customHeight="1" x14ac:dyDescent="0.25">
      <c r="B10" s="13"/>
      <c r="C10" s="1720">
        <v>1</v>
      </c>
      <c r="D10" s="1721"/>
      <c r="E10" s="1722"/>
      <c r="F10" s="1723">
        <v>2</v>
      </c>
      <c r="G10" s="1724"/>
      <c r="H10" s="857">
        <v>3</v>
      </c>
      <c r="I10" s="857">
        <v>4</v>
      </c>
      <c r="J10" s="858">
        <v>5</v>
      </c>
      <c r="K10" s="858">
        <v>5</v>
      </c>
      <c r="L10" s="862">
        <v>5</v>
      </c>
      <c r="M10" s="862">
        <v>5</v>
      </c>
      <c r="N10" s="862">
        <v>5</v>
      </c>
      <c r="O10" s="859">
        <v>5</v>
      </c>
      <c r="P10" s="20"/>
      <c r="Q10" s="859">
        <v>5</v>
      </c>
      <c r="R10" s="507"/>
      <c r="S10" s="20"/>
      <c r="T10" s="396"/>
      <c r="V10" s="17"/>
    </row>
    <row r="11" spans="2:25" s="29" customFormat="1" ht="29.25" customHeight="1" thickTop="1" x14ac:dyDescent="0.25">
      <c r="B11" s="13"/>
      <c r="C11" s="22"/>
      <c r="D11" s="1635" t="s">
        <v>4</v>
      </c>
      <c r="E11" s="1637"/>
      <c r="F11" s="1637"/>
      <c r="G11" s="1636"/>
      <c r="H11" s="23"/>
      <c r="I11" s="24"/>
      <c r="J11" s="608">
        <f t="shared" ref="J11:O11" si="0">J12+J51</f>
        <v>307965438271</v>
      </c>
      <c r="K11" s="608">
        <f t="shared" si="0"/>
        <v>307965438271</v>
      </c>
      <c r="L11" s="863">
        <f t="shared" si="0"/>
        <v>61079161889.199997</v>
      </c>
      <c r="M11" s="863">
        <f t="shared" si="0"/>
        <v>119570091308.39999</v>
      </c>
      <c r="N11" s="863">
        <f t="shared" si="0"/>
        <v>118542239778.39999</v>
      </c>
      <c r="O11" s="25">
        <f t="shared" si="0"/>
        <v>8773945295</v>
      </c>
      <c r="P11" s="26"/>
      <c r="Q11" s="25">
        <f>L11+M11+O11+N11</f>
        <v>307965438271</v>
      </c>
      <c r="R11" s="508"/>
      <c r="S11" s="485"/>
      <c r="T11" s="935">
        <f t="shared" ref="T11:T22" si="1">Q11-K11</f>
        <v>0</v>
      </c>
      <c r="U11" s="28"/>
      <c r="W11" s="29">
        <v>0.3</v>
      </c>
      <c r="X11" s="29">
        <v>0.3</v>
      </c>
      <c r="Y11" s="29">
        <v>0.2</v>
      </c>
    </row>
    <row r="12" spans="2:25" s="15" customFormat="1" ht="30" customHeight="1" x14ac:dyDescent="0.25">
      <c r="B12" s="13"/>
      <c r="C12" s="30"/>
      <c r="D12" s="1638" t="s">
        <v>487</v>
      </c>
      <c r="E12" s="1638"/>
      <c r="F12" s="1638"/>
      <c r="G12" s="1638"/>
      <c r="H12" s="1638"/>
      <c r="I12" s="1639"/>
      <c r="J12" s="609">
        <f t="shared" ref="J12:O12" si="2">J13+J24+J39+J42+J45</f>
        <v>11438515300</v>
      </c>
      <c r="K12" s="609">
        <f t="shared" si="2"/>
        <v>11438515300</v>
      </c>
      <c r="L12" s="864">
        <f t="shared" si="2"/>
        <v>1773777295</v>
      </c>
      <c r="M12" s="864">
        <f t="shared" si="2"/>
        <v>4575406120</v>
      </c>
      <c r="N12" s="864">
        <f t="shared" si="2"/>
        <v>3547554590</v>
      </c>
      <c r="O12" s="31">
        <f t="shared" si="2"/>
        <v>1541777295</v>
      </c>
      <c r="P12" s="32"/>
      <c r="Q12" s="31">
        <f t="shared" ref="Q12:Q75" si="3">L12+M12+O12+N12</f>
        <v>11438515300</v>
      </c>
      <c r="R12" s="509"/>
      <c r="S12" s="486"/>
      <c r="T12" s="936">
        <f t="shared" si="1"/>
        <v>0</v>
      </c>
      <c r="U12" s="17"/>
    </row>
    <row r="13" spans="2:25" s="15" customFormat="1" ht="21" customHeight="1" x14ac:dyDescent="0.25">
      <c r="B13" s="13"/>
      <c r="C13" s="34" t="s">
        <v>432</v>
      </c>
      <c r="D13" s="1640" t="s">
        <v>6</v>
      </c>
      <c r="E13" s="1641"/>
      <c r="F13" s="1641"/>
      <c r="G13" s="1642"/>
      <c r="H13" s="35" t="s">
        <v>7</v>
      </c>
      <c r="I13" s="36"/>
      <c r="J13" s="610">
        <f t="shared" ref="J13:O13" si="4">J20+J15+J16+J17+J18+J21+J22+J14+J19</f>
        <v>5166573300</v>
      </c>
      <c r="K13" s="610">
        <f t="shared" si="4"/>
        <v>5166573300</v>
      </c>
      <c r="L13" s="865">
        <f t="shared" si="4"/>
        <v>774985995</v>
      </c>
      <c r="M13" s="865">
        <f t="shared" si="4"/>
        <v>2066629320</v>
      </c>
      <c r="N13" s="865">
        <f t="shared" si="4"/>
        <v>1549971990</v>
      </c>
      <c r="O13" s="37">
        <f t="shared" si="4"/>
        <v>774985995</v>
      </c>
      <c r="P13" s="38"/>
      <c r="Q13" s="37">
        <f t="shared" si="3"/>
        <v>5166573300</v>
      </c>
      <c r="R13" s="510"/>
      <c r="S13" s="487"/>
      <c r="T13" s="396">
        <f t="shared" si="1"/>
        <v>0</v>
      </c>
    </row>
    <row r="14" spans="2:25" s="62" customFormat="1" ht="27" customHeight="1" x14ac:dyDescent="0.25">
      <c r="B14" s="59"/>
      <c r="C14" s="39"/>
      <c r="D14" s="140" t="s">
        <v>5</v>
      </c>
      <c r="E14" s="1623" t="s">
        <v>9</v>
      </c>
      <c r="F14" s="1624"/>
      <c r="G14" s="1625"/>
      <c r="H14" s="745" t="s">
        <v>497</v>
      </c>
      <c r="I14" s="746">
        <v>1</v>
      </c>
      <c r="J14" s="611">
        <v>755192500</v>
      </c>
      <c r="K14" s="611">
        <f>755192500</f>
        <v>755192500</v>
      </c>
      <c r="L14" s="866">
        <f>K14*$V$8</f>
        <v>113278875</v>
      </c>
      <c r="M14" s="866">
        <f>K14*$W$8</f>
        <v>302077000</v>
      </c>
      <c r="N14" s="866">
        <f>K14*$X$8</f>
        <v>226557750</v>
      </c>
      <c r="O14" s="43">
        <f>K14*$Y$8</f>
        <v>113278875</v>
      </c>
      <c r="P14" s="44"/>
      <c r="Q14" s="43">
        <f t="shared" si="3"/>
        <v>755192500</v>
      </c>
      <c r="R14" s="747"/>
      <c r="S14" s="488"/>
      <c r="T14" s="731">
        <f t="shared" si="1"/>
        <v>0</v>
      </c>
    </row>
    <row r="15" spans="2:25" s="62" customFormat="1" ht="26.25" customHeight="1" x14ac:dyDescent="0.25">
      <c r="B15" s="59"/>
      <c r="C15" s="39"/>
      <c r="D15" s="79" t="s">
        <v>10</v>
      </c>
      <c r="E15" s="1623" t="s">
        <v>11</v>
      </c>
      <c r="F15" s="1624"/>
      <c r="G15" s="1625"/>
      <c r="H15" s="837" t="s">
        <v>12</v>
      </c>
      <c r="I15" s="746">
        <v>1</v>
      </c>
      <c r="J15" s="612">
        <v>1921800000</v>
      </c>
      <c r="K15" s="612">
        <v>1921800000</v>
      </c>
      <c r="L15" s="867">
        <f t="shared" ref="L15:L22" si="5">K15*$V$8</f>
        <v>288270000</v>
      </c>
      <c r="M15" s="867">
        <f t="shared" ref="M15:M22" si="6">K15*$W$8</f>
        <v>768720000</v>
      </c>
      <c r="N15" s="867">
        <f t="shared" ref="N15:N22" si="7">K15*$X$8</f>
        <v>576540000</v>
      </c>
      <c r="O15" s="47">
        <f t="shared" ref="O15:O22" si="8">K15*$Y$8</f>
        <v>288270000</v>
      </c>
      <c r="P15" s="44"/>
      <c r="Q15" s="47">
        <f t="shared" si="3"/>
        <v>1921800000</v>
      </c>
      <c r="R15" s="747"/>
      <c r="S15" s="488"/>
      <c r="T15" s="731">
        <f t="shared" si="1"/>
        <v>0</v>
      </c>
    </row>
    <row r="16" spans="2:25" s="62" customFormat="1" ht="26.25" customHeight="1" x14ac:dyDescent="0.25">
      <c r="B16" s="59"/>
      <c r="C16" s="39"/>
      <c r="D16" s="140" t="s">
        <v>13</v>
      </c>
      <c r="E16" s="1623" t="s">
        <v>14</v>
      </c>
      <c r="F16" s="1624"/>
      <c r="G16" s="1625"/>
      <c r="H16" s="837" t="s">
        <v>15</v>
      </c>
      <c r="I16" s="746">
        <v>1</v>
      </c>
      <c r="J16" s="612">
        <f>1968500000-21419200</f>
        <v>1947080800</v>
      </c>
      <c r="K16" s="612">
        <f>1968500000-21419200</f>
        <v>1947080800</v>
      </c>
      <c r="L16" s="867">
        <f t="shared" si="5"/>
        <v>292062120</v>
      </c>
      <c r="M16" s="867">
        <f t="shared" si="6"/>
        <v>778832320</v>
      </c>
      <c r="N16" s="867">
        <f t="shared" si="7"/>
        <v>584124240</v>
      </c>
      <c r="O16" s="47">
        <f t="shared" si="8"/>
        <v>292062120</v>
      </c>
      <c r="P16" s="44"/>
      <c r="Q16" s="47">
        <f t="shared" si="3"/>
        <v>1947080800</v>
      </c>
      <c r="R16" s="747"/>
      <c r="S16" s="488"/>
      <c r="T16" s="731">
        <f t="shared" si="1"/>
        <v>0</v>
      </c>
    </row>
    <row r="17" spans="2:20" s="29" customFormat="1" ht="20.25" customHeight="1" x14ac:dyDescent="0.25">
      <c r="B17" s="13"/>
      <c r="C17" s="39"/>
      <c r="D17" s="140" t="s">
        <v>16</v>
      </c>
      <c r="E17" s="1584" t="s">
        <v>17</v>
      </c>
      <c r="F17" s="1585"/>
      <c r="G17" s="1586"/>
      <c r="H17" s="46" t="s">
        <v>18</v>
      </c>
      <c r="I17" s="42">
        <v>1</v>
      </c>
      <c r="J17" s="612">
        <v>200000000</v>
      </c>
      <c r="K17" s="612">
        <v>200000000</v>
      </c>
      <c r="L17" s="867">
        <f t="shared" si="5"/>
        <v>30000000</v>
      </c>
      <c r="M17" s="867">
        <f t="shared" si="6"/>
        <v>80000000</v>
      </c>
      <c r="N17" s="867">
        <f t="shared" si="7"/>
        <v>60000000</v>
      </c>
      <c r="O17" s="47">
        <f t="shared" si="8"/>
        <v>30000000</v>
      </c>
      <c r="P17" s="44"/>
      <c r="Q17" s="47">
        <f t="shared" si="3"/>
        <v>200000000</v>
      </c>
      <c r="R17" s="511"/>
      <c r="S17" s="488"/>
      <c r="T17" s="396">
        <f t="shared" si="1"/>
        <v>0</v>
      </c>
    </row>
    <row r="18" spans="2:20" s="29" customFormat="1" ht="20.25" customHeight="1" x14ac:dyDescent="0.25">
      <c r="B18" s="13"/>
      <c r="C18" s="39"/>
      <c r="D18" s="140" t="s">
        <v>19</v>
      </c>
      <c r="E18" s="1584" t="s">
        <v>20</v>
      </c>
      <c r="F18" s="1585"/>
      <c r="G18" s="1586"/>
      <c r="H18" s="46" t="s">
        <v>21</v>
      </c>
      <c r="I18" s="42">
        <v>1</v>
      </c>
      <c r="J18" s="612">
        <f>238307500-65807500</f>
        <v>172500000</v>
      </c>
      <c r="K18" s="612">
        <f>238307500-65807500</f>
        <v>172500000</v>
      </c>
      <c r="L18" s="867">
        <f t="shared" si="5"/>
        <v>25875000</v>
      </c>
      <c r="M18" s="867">
        <f t="shared" si="6"/>
        <v>69000000</v>
      </c>
      <c r="N18" s="867">
        <f t="shared" si="7"/>
        <v>51750000</v>
      </c>
      <c r="O18" s="47">
        <f t="shared" si="8"/>
        <v>25875000</v>
      </c>
      <c r="P18" s="44"/>
      <c r="Q18" s="47">
        <f t="shared" si="3"/>
        <v>172500000</v>
      </c>
      <c r="R18" s="511"/>
      <c r="S18" s="488"/>
      <c r="T18" s="396">
        <f t="shared" si="1"/>
        <v>0</v>
      </c>
    </row>
    <row r="19" spans="2:20" s="29" customFormat="1" ht="20.25" customHeight="1" x14ac:dyDescent="0.25">
      <c r="B19" s="13"/>
      <c r="C19" s="39"/>
      <c r="D19" s="140" t="s">
        <v>27</v>
      </c>
      <c r="E19" s="1605" t="s">
        <v>23</v>
      </c>
      <c r="F19" s="1606"/>
      <c r="G19" s="1607"/>
      <c r="H19" s="48" t="s">
        <v>24</v>
      </c>
      <c r="I19" s="42">
        <v>1</v>
      </c>
      <c r="J19" s="612">
        <v>100000000</v>
      </c>
      <c r="K19" s="612">
        <v>100000000</v>
      </c>
      <c r="L19" s="867">
        <f t="shared" si="5"/>
        <v>15000000</v>
      </c>
      <c r="M19" s="867">
        <f t="shared" si="6"/>
        <v>40000000</v>
      </c>
      <c r="N19" s="867">
        <f t="shared" si="7"/>
        <v>30000000</v>
      </c>
      <c r="O19" s="47">
        <f t="shared" si="8"/>
        <v>15000000</v>
      </c>
      <c r="P19" s="44"/>
      <c r="Q19" s="47">
        <f t="shared" si="3"/>
        <v>100000000</v>
      </c>
      <c r="R19" s="511"/>
      <c r="S19" s="488"/>
      <c r="T19" s="396">
        <f t="shared" si="1"/>
        <v>0</v>
      </c>
    </row>
    <row r="20" spans="2:20" s="29" customFormat="1" ht="36.75" customHeight="1" x14ac:dyDescent="0.25">
      <c r="B20" s="13"/>
      <c r="C20" s="49"/>
      <c r="D20" s="79" t="s">
        <v>30</v>
      </c>
      <c r="E20" s="1584" t="s">
        <v>25</v>
      </c>
      <c r="F20" s="1585"/>
      <c r="G20" s="1586"/>
      <c r="H20" s="50" t="s">
        <v>26</v>
      </c>
      <c r="I20" s="51">
        <v>1</v>
      </c>
      <c r="J20" s="613">
        <v>10000000</v>
      </c>
      <c r="K20" s="613">
        <v>10000000</v>
      </c>
      <c r="L20" s="868">
        <f t="shared" si="5"/>
        <v>1500000</v>
      </c>
      <c r="M20" s="868">
        <f t="shared" si="6"/>
        <v>4000000</v>
      </c>
      <c r="N20" s="868">
        <f t="shared" si="7"/>
        <v>3000000</v>
      </c>
      <c r="O20" s="52">
        <f t="shared" si="8"/>
        <v>1500000</v>
      </c>
      <c r="P20" s="44"/>
      <c r="Q20" s="52">
        <f t="shared" si="3"/>
        <v>10000000</v>
      </c>
      <c r="R20" s="512"/>
      <c r="S20" s="488"/>
      <c r="T20" s="396">
        <f t="shared" si="1"/>
        <v>0</v>
      </c>
    </row>
    <row r="21" spans="2:20" s="29" customFormat="1" ht="17.25" customHeight="1" x14ac:dyDescent="0.25">
      <c r="B21" s="13"/>
      <c r="C21" s="39"/>
      <c r="D21" s="140" t="s">
        <v>8</v>
      </c>
      <c r="E21" s="1584" t="s">
        <v>28</v>
      </c>
      <c r="F21" s="1585"/>
      <c r="G21" s="1586"/>
      <c r="H21" s="46" t="s">
        <v>29</v>
      </c>
      <c r="I21" s="42">
        <v>1</v>
      </c>
      <c r="J21" s="612">
        <f>40000000-10000000</f>
        <v>30000000</v>
      </c>
      <c r="K21" s="612">
        <f>40000000-10000000</f>
        <v>30000000</v>
      </c>
      <c r="L21" s="867">
        <f t="shared" si="5"/>
        <v>4500000</v>
      </c>
      <c r="M21" s="867">
        <f t="shared" si="6"/>
        <v>12000000</v>
      </c>
      <c r="N21" s="867">
        <f t="shared" si="7"/>
        <v>9000000</v>
      </c>
      <c r="O21" s="47">
        <f t="shared" si="8"/>
        <v>4500000</v>
      </c>
      <c r="P21" s="44"/>
      <c r="Q21" s="47">
        <f t="shared" si="3"/>
        <v>30000000</v>
      </c>
      <c r="R21" s="511"/>
      <c r="S21" s="488"/>
      <c r="T21" s="396">
        <f t="shared" si="1"/>
        <v>0</v>
      </c>
    </row>
    <row r="22" spans="2:20" s="29" customFormat="1" ht="27" customHeight="1" x14ac:dyDescent="0.25">
      <c r="B22" s="13"/>
      <c r="C22" s="39"/>
      <c r="D22" s="140" t="s">
        <v>22</v>
      </c>
      <c r="E22" s="1584" t="s">
        <v>31</v>
      </c>
      <c r="F22" s="1585"/>
      <c r="G22" s="1586"/>
      <c r="H22" s="46" t="s">
        <v>32</v>
      </c>
      <c r="I22" s="42">
        <v>1</v>
      </c>
      <c r="J22" s="612">
        <f>30000000</f>
        <v>30000000</v>
      </c>
      <c r="K22" s="612">
        <f>30000000</f>
        <v>30000000</v>
      </c>
      <c r="L22" s="867">
        <f t="shared" si="5"/>
        <v>4500000</v>
      </c>
      <c r="M22" s="867">
        <f t="shared" si="6"/>
        <v>12000000</v>
      </c>
      <c r="N22" s="867">
        <f t="shared" si="7"/>
        <v>9000000</v>
      </c>
      <c r="O22" s="47">
        <f t="shared" si="8"/>
        <v>4500000</v>
      </c>
      <c r="P22" s="44"/>
      <c r="Q22" s="47">
        <f t="shared" si="3"/>
        <v>30000000</v>
      </c>
      <c r="R22" s="511"/>
      <c r="S22" s="488"/>
      <c r="T22" s="396">
        <f t="shared" si="1"/>
        <v>0</v>
      </c>
    </row>
    <row r="23" spans="2:20" s="29" customFormat="1" ht="3.75" customHeight="1" x14ac:dyDescent="0.25">
      <c r="B23" s="13"/>
      <c r="C23" s="54"/>
      <c r="D23" s="55"/>
      <c r="E23" s="677"/>
      <c r="F23" s="1614"/>
      <c r="G23" s="1615"/>
      <c r="H23" s="56"/>
      <c r="I23" s="57"/>
      <c r="J23" s="614"/>
      <c r="K23" s="614"/>
      <c r="L23" s="869"/>
      <c r="M23" s="869"/>
      <c r="N23" s="869"/>
      <c r="O23" s="58"/>
      <c r="P23" s="44"/>
      <c r="Q23" s="58">
        <f t="shared" si="3"/>
        <v>0</v>
      </c>
      <c r="R23" s="513"/>
      <c r="S23" s="488"/>
      <c r="T23" s="396"/>
    </row>
    <row r="24" spans="2:20" s="29" customFormat="1" ht="26.25" customHeight="1" x14ac:dyDescent="0.25">
      <c r="B24" s="13"/>
      <c r="C24" s="34" t="s">
        <v>434</v>
      </c>
      <c r="D24" s="1640" t="s">
        <v>35</v>
      </c>
      <c r="E24" s="1641"/>
      <c r="F24" s="1641"/>
      <c r="G24" s="1642"/>
      <c r="H24" s="35" t="s">
        <v>36</v>
      </c>
      <c r="I24" s="36"/>
      <c r="J24" s="610">
        <f t="shared" ref="J24:O24" si="9">J25+J26+J27+J28+J29+J32+J35+J36+J37</f>
        <v>4220250000</v>
      </c>
      <c r="K24" s="610">
        <f t="shared" si="9"/>
        <v>4220250000</v>
      </c>
      <c r="L24" s="865">
        <f t="shared" si="9"/>
        <v>691037500</v>
      </c>
      <c r="M24" s="865">
        <f t="shared" si="9"/>
        <v>1688100000</v>
      </c>
      <c r="N24" s="865">
        <f t="shared" si="9"/>
        <v>1382075000</v>
      </c>
      <c r="O24" s="37">
        <f t="shared" si="9"/>
        <v>459037500</v>
      </c>
      <c r="P24" s="38"/>
      <c r="Q24" s="37">
        <f t="shared" si="3"/>
        <v>4220250000</v>
      </c>
      <c r="R24" s="510"/>
      <c r="S24" s="487"/>
      <c r="T24" s="396">
        <f t="shared" ref="T24:T87" si="10">Q24-K24</f>
        <v>0</v>
      </c>
    </row>
    <row r="25" spans="2:20" s="62" customFormat="1" ht="21" customHeight="1" x14ac:dyDescent="0.25">
      <c r="B25" s="59"/>
      <c r="C25" s="39"/>
      <c r="D25" s="140" t="s">
        <v>5</v>
      </c>
      <c r="E25" s="1529" t="s">
        <v>37</v>
      </c>
      <c r="F25" s="1622"/>
      <c r="G25" s="1530"/>
      <c r="H25" s="680" t="s">
        <v>38</v>
      </c>
      <c r="I25" s="746">
        <v>1</v>
      </c>
      <c r="J25" s="611">
        <v>350000000</v>
      </c>
      <c r="K25" s="611">
        <v>350000000</v>
      </c>
      <c r="L25" s="866">
        <f t="shared" ref="L25:L28" si="11">K25*$V$8</f>
        <v>52500000</v>
      </c>
      <c r="M25" s="866">
        <f t="shared" ref="M25:M37" si="12">K25*$W$8</f>
        <v>140000000</v>
      </c>
      <c r="N25" s="866">
        <f t="shared" ref="N25:N28" si="13">K25*$X$8</f>
        <v>105000000</v>
      </c>
      <c r="O25" s="43">
        <f t="shared" ref="O25:O28" si="14">K25*$Y$8</f>
        <v>52500000</v>
      </c>
      <c r="P25" s="44"/>
      <c r="Q25" s="43">
        <f t="shared" si="3"/>
        <v>350000000</v>
      </c>
      <c r="R25" s="747"/>
      <c r="S25" s="488"/>
      <c r="T25" s="731">
        <f t="shared" si="10"/>
        <v>0</v>
      </c>
    </row>
    <row r="26" spans="2:20" s="62" customFormat="1" ht="21" customHeight="1" x14ac:dyDescent="0.25">
      <c r="B26" s="59"/>
      <c r="C26" s="39"/>
      <c r="D26" s="140" t="s">
        <v>10</v>
      </c>
      <c r="E26" s="1529" t="s">
        <v>485</v>
      </c>
      <c r="F26" s="1622"/>
      <c r="G26" s="1530"/>
      <c r="H26" s="680" t="s">
        <v>39</v>
      </c>
      <c r="I26" s="746">
        <v>1</v>
      </c>
      <c r="J26" s="611">
        <v>452890000</v>
      </c>
      <c r="K26" s="611">
        <v>452890000</v>
      </c>
      <c r="L26" s="866">
        <f t="shared" si="11"/>
        <v>67933500</v>
      </c>
      <c r="M26" s="866">
        <f t="shared" si="12"/>
        <v>181156000</v>
      </c>
      <c r="N26" s="866">
        <f t="shared" si="13"/>
        <v>135867000</v>
      </c>
      <c r="O26" s="43">
        <f t="shared" si="14"/>
        <v>67933500</v>
      </c>
      <c r="P26" s="44"/>
      <c r="Q26" s="43">
        <f t="shared" si="3"/>
        <v>452890000</v>
      </c>
      <c r="R26" s="747"/>
      <c r="S26" s="488"/>
      <c r="T26" s="731">
        <f t="shared" si="10"/>
        <v>0</v>
      </c>
    </row>
    <row r="27" spans="2:20" s="62" customFormat="1" ht="21" customHeight="1" x14ac:dyDescent="0.25">
      <c r="B27" s="59"/>
      <c r="C27" s="39"/>
      <c r="D27" s="140" t="s">
        <v>13</v>
      </c>
      <c r="E27" s="1529" t="s">
        <v>40</v>
      </c>
      <c r="F27" s="1622"/>
      <c r="G27" s="1530"/>
      <c r="H27" s="680" t="s">
        <v>41</v>
      </c>
      <c r="I27" s="746">
        <v>1</v>
      </c>
      <c r="J27" s="612">
        <f>600000000</f>
        <v>600000000</v>
      </c>
      <c r="K27" s="612">
        <f>600000000</f>
        <v>600000000</v>
      </c>
      <c r="L27" s="867">
        <f t="shared" si="11"/>
        <v>90000000</v>
      </c>
      <c r="M27" s="867">
        <f t="shared" si="12"/>
        <v>240000000</v>
      </c>
      <c r="N27" s="867">
        <f t="shared" si="13"/>
        <v>180000000</v>
      </c>
      <c r="O27" s="47">
        <f t="shared" si="14"/>
        <v>90000000</v>
      </c>
      <c r="P27" s="44"/>
      <c r="Q27" s="47">
        <f t="shared" si="3"/>
        <v>600000000</v>
      </c>
      <c r="R27" s="747"/>
      <c r="S27" s="488"/>
      <c r="T27" s="731">
        <f t="shared" si="10"/>
        <v>0</v>
      </c>
    </row>
    <row r="28" spans="2:20" s="62" customFormat="1" ht="32.25" customHeight="1" x14ac:dyDescent="0.25">
      <c r="B28" s="59"/>
      <c r="C28" s="766"/>
      <c r="D28" s="759" t="s">
        <v>16</v>
      </c>
      <c r="E28" s="1529" t="s">
        <v>42</v>
      </c>
      <c r="F28" s="1622"/>
      <c r="G28" s="1530"/>
      <c r="H28" s="680" t="s">
        <v>43</v>
      </c>
      <c r="I28" s="746">
        <v>1</v>
      </c>
      <c r="J28" s="611">
        <v>243360000</v>
      </c>
      <c r="K28" s="611">
        <v>243360000</v>
      </c>
      <c r="L28" s="866">
        <f t="shared" si="11"/>
        <v>36504000</v>
      </c>
      <c r="M28" s="866">
        <f t="shared" si="12"/>
        <v>97344000</v>
      </c>
      <c r="N28" s="866">
        <f t="shared" si="13"/>
        <v>73008000</v>
      </c>
      <c r="O28" s="43">
        <f t="shared" si="14"/>
        <v>36504000</v>
      </c>
      <c r="P28" s="44"/>
      <c r="Q28" s="43">
        <f t="shared" si="3"/>
        <v>243360000</v>
      </c>
      <c r="R28" s="747"/>
      <c r="S28" s="488"/>
      <c r="T28" s="731">
        <f t="shared" si="10"/>
        <v>0</v>
      </c>
    </row>
    <row r="29" spans="2:20" s="62" customFormat="1" ht="31.5" customHeight="1" x14ac:dyDescent="0.25">
      <c r="B29" s="59"/>
      <c r="C29" s="39"/>
      <c r="D29" s="140" t="s">
        <v>19</v>
      </c>
      <c r="E29" s="1618" t="s">
        <v>44</v>
      </c>
      <c r="F29" s="1619"/>
      <c r="G29" s="1620"/>
      <c r="H29" s="748" t="s">
        <v>45</v>
      </c>
      <c r="I29" s="746">
        <v>1</v>
      </c>
      <c r="J29" s="660">
        <f>SUM(J30:J31)</f>
        <v>210000000</v>
      </c>
      <c r="K29" s="660">
        <f>SUM(K30:K31)</f>
        <v>210000000</v>
      </c>
      <c r="L29" s="870">
        <f>SUM(L30:L31)</f>
        <v>42000000</v>
      </c>
      <c r="M29" s="870">
        <f t="shared" si="12"/>
        <v>84000000</v>
      </c>
      <c r="N29" s="870">
        <f>SUM(N30:N31)</f>
        <v>84000000</v>
      </c>
      <c r="O29" s="60">
        <f>SUM(O30:O31)</f>
        <v>0</v>
      </c>
      <c r="P29" s="61"/>
      <c r="Q29" s="60">
        <f t="shared" si="3"/>
        <v>210000000</v>
      </c>
      <c r="R29" s="747"/>
      <c r="S29" s="489"/>
      <c r="T29" s="731">
        <f t="shared" si="10"/>
        <v>0</v>
      </c>
    </row>
    <row r="30" spans="2:20" s="62" customFormat="1" ht="26.25" hidden="1" customHeight="1" x14ac:dyDescent="0.25">
      <c r="B30" s="59"/>
      <c r="C30" s="39"/>
      <c r="D30" s="140"/>
      <c r="E30" s="838" t="s">
        <v>46</v>
      </c>
      <c r="F30" s="1616" t="s">
        <v>47</v>
      </c>
      <c r="G30" s="1617"/>
      <c r="H30" s="839" t="s">
        <v>48</v>
      </c>
      <c r="I30" s="137"/>
      <c r="J30" s="616">
        <v>200000000</v>
      </c>
      <c r="K30" s="616">
        <v>200000000</v>
      </c>
      <c r="L30" s="871">
        <f>$K$30*V9</f>
        <v>40000000</v>
      </c>
      <c r="M30" s="871">
        <f t="shared" si="12"/>
        <v>80000000</v>
      </c>
      <c r="N30" s="871">
        <f t="shared" ref="N30:O30" si="15">$K$30*X9</f>
        <v>80000000</v>
      </c>
      <c r="O30" s="66">
        <f t="shared" si="15"/>
        <v>0</v>
      </c>
      <c r="P30" s="67"/>
      <c r="Q30" s="66">
        <f t="shared" si="3"/>
        <v>200000000</v>
      </c>
      <c r="R30" s="519"/>
      <c r="S30" s="490"/>
      <c r="T30" s="731">
        <f t="shared" si="10"/>
        <v>0</v>
      </c>
    </row>
    <row r="31" spans="2:20" s="62" customFormat="1" ht="25.5" hidden="1" customHeight="1" x14ac:dyDescent="0.25">
      <c r="B31" s="59"/>
      <c r="C31" s="39"/>
      <c r="D31" s="140"/>
      <c r="E31" s="838" t="s">
        <v>46</v>
      </c>
      <c r="F31" s="1616" t="s">
        <v>49</v>
      </c>
      <c r="G31" s="1617"/>
      <c r="H31" s="839" t="s">
        <v>50</v>
      </c>
      <c r="I31" s="137"/>
      <c r="J31" s="616">
        <v>10000000</v>
      </c>
      <c r="K31" s="616">
        <v>10000000</v>
      </c>
      <c r="L31" s="871">
        <f>$K$31*V9</f>
        <v>2000000</v>
      </c>
      <c r="M31" s="871">
        <f t="shared" si="12"/>
        <v>4000000</v>
      </c>
      <c r="N31" s="871">
        <f t="shared" ref="N31:O31" si="16">$K$31*X9</f>
        <v>4000000</v>
      </c>
      <c r="O31" s="66">
        <f t="shared" si="16"/>
        <v>0</v>
      </c>
      <c r="P31" s="67"/>
      <c r="Q31" s="66">
        <f t="shared" si="3"/>
        <v>10000000</v>
      </c>
      <c r="R31" s="519"/>
      <c r="S31" s="490"/>
      <c r="T31" s="731">
        <f t="shared" si="10"/>
        <v>0</v>
      </c>
    </row>
    <row r="32" spans="2:20" s="62" customFormat="1" ht="26.25" customHeight="1" x14ac:dyDescent="0.25">
      <c r="B32" s="59"/>
      <c r="C32" s="39"/>
      <c r="D32" s="140" t="s">
        <v>27</v>
      </c>
      <c r="E32" s="1618" t="s">
        <v>51</v>
      </c>
      <c r="F32" s="1619"/>
      <c r="G32" s="1620"/>
      <c r="H32" s="840" t="s">
        <v>53</v>
      </c>
      <c r="I32" s="746">
        <v>1</v>
      </c>
      <c r="J32" s="617">
        <f>SUM(J33:J34)</f>
        <v>950000000</v>
      </c>
      <c r="K32" s="617">
        <f>SUM(K33:K34)</f>
        <v>950000000</v>
      </c>
      <c r="L32" s="872">
        <f>SUM(L33:L34)</f>
        <v>190000000</v>
      </c>
      <c r="M32" s="872">
        <f t="shared" si="12"/>
        <v>380000000</v>
      </c>
      <c r="N32" s="872">
        <f>SUM(N33:N34)</f>
        <v>380000000</v>
      </c>
      <c r="O32" s="71">
        <f>SUM(O33:O34)</f>
        <v>0</v>
      </c>
      <c r="P32" s="61"/>
      <c r="Q32" s="71">
        <f t="shared" si="3"/>
        <v>950000000</v>
      </c>
      <c r="R32" s="747"/>
      <c r="S32" s="489"/>
      <c r="T32" s="731">
        <f t="shared" si="10"/>
        <v>0</v>
      </c>
    </row>
    <row r="33" spans="2:20" s="62" customFormat="1" ht="27.75" hidden="1" customHeight="1" x14ac:dyDescent="0.25">
      <c r="B33" s="59"/>
      <c r="C33" s="39"/>
      <c r="D33" s="140"/>
      <c r="E33" s="838" t="s">
        <v>46</v>
      </c>
      <c r="F33" s="1616" t="s">
        <v>52</v>
      </c>
      <c r="G33" s="1617"/>
      <c r="H33" s="839" t="s">
        <v>53</v>
      </c>
      <c r="I33" s="841"/>
      <c r="J33" s="618">
        <v>915000000</v>
      </c>
      <c r="K33" s="618">
        <v>915000000</v>
      </c>
      <c r="L33" s="873">
        <f>$K$33*V9</f>
        <v>183000000</v>
      </c>
      <c r="M33" s="873">
        <f t="shared" si="12"/>
        <v>366000000</v>
      </c>
      <c r="N33" s="873">
        <f t="shared" ref="N33:O33" si="17">$K$33*X9</f>
        <v>366000000</v>
      </c>
      <c r="O33" s="73">
        <f t="shared" si="17"/>
        <v>0</v>
      </c>
      <c r="P33" s="67"/>
      <c r="Q33" s="73">
        <f t="shared" si="3"/>
        <v>915000000</v>
      </c>
      <c r="R33" s="842"/>
      <c r="S33" s="490"/>
      <c r="T33" s="731">
        <f t="shared" si="10"/>
        <v>0</v>
      </c>
    </row>
    <row r="34" spans="2:20" s="62" customFormat="1" ht="27" hidden="1" customHeight="1" x14ac:dyDescent="0.25">
      <c r="B34" s="59"/>
      <c r="C34" s="39"/>
      <c r="D34" s="140"/>
      <c r="E34" s="838" t="s">
        <v>46</v>
      </c>
      <c r="F34" s="1616" t="s">
        <v>54</v>
      </c>
      <c r="G34" s="1617"/>
      <c r="H34" s="839" t="s">
        <v>55</v>
      </c>
      <c r="I34" s="137"/>
      <c r="J34" s="618">
        <v>35000000</v>
      </c>
      <c r="K34" s="618">
        <v>35000000</v>
      </c>
      <c r="L34" s="871">
        <f>$K$34*V9</f>
        <v>7000000</v>
      </c>
      <c r="M34" s="871">
        <f t="shared" si="12"/>
        <v>14000000</v>
      </c>
      <c r="N34" s="871">
        <f t="shared" ref="N34:O34" si="18">$K$34*X9</f>
        <v>14000000</v>
      </c>
      <c r="O34" s="66">
        <f t="shared" si="18"/>
        <v>0</v>
      </c>
      <c r="P34" s="67"/>
      <c r="Q34" s="73">
        <f t="shared" si="3"/>
        <v>35000000</v>
      </c>
      <c r="R34" s="519"/>
      <c r="S34" s="490"/>
      <c r="T34" s="731">
        <f t="shared" si="10"/>
        <v>0</v>
      </c>
    </row>
    <row r="35" spans="2:20" s="62" customFormat="1" ht="26.25" customHeight="1" x14ac:dyDescent="0.25">
      <c r="B35" s="59"/>
      <c r="C35" s="39"/>
      <c r="D35" s="140" t="s">
        <v>30</v>
      </c>
      <c r="E35" s="1621" t="s">
        <v>56</v>
      </c>
      <c r="F35" s="1621"/>
      <c r="G35" s="1621"/>
      <c r="H35" s="74" t="s">
        <v>57</v>
      </c>
      <c r="I35" s="746">
        <v>1</v>
      </c>
      <c r="J35" s="612">
        <v>150000000</v>
      </c>
      <c r="K35" s="612">
        <v>150000000</v>
      </c>
      <c r="L35" s="867">
        <f t="shared" ref="L35:L37" si="19">K35*$V$8</f>
        <v>22500000</v>
      </c>
      <c r="M35" s="867">
        <f t="shared" si="12"/>
        <v>60000000</v>
      </c>
      <c r="N35" s="867">
        <f t="shared" ref="N35:N37" si="20">K35*$X$8</f>
        <v>45000000</v>
      </c>
      <c r="O35" s="47">
        <f t="shared" ref="O35:O37" si="21">K35*$Y$8</f>
        <v>22500000</v>
      </c>
      <c r="P35" s="44"/>
      <c r="Q35" s="47">
        <f t="shared" si="3"/>
        <v>150000000</v>
      </c>
      <c r="R35" s="747"/>
      <c r="S35" s="488"/>
      <c r="T35" s="731">
        <f t="shared" si="10"/>
        <v>0</v>
      </c>
    </row>
    <row r="36" spans="2:20" s="62" customFormat="1" ht="21" customHeight="1" x14ac:dyDescent="0.25">
      <c r="B36" s="59"/>
      <c r="C36" s="39"/>
      <c r="D36" s="140" t="s">
        <v>8</v>
      </c>
      <c r="E36" s="1621" t="s">
        <v>58</v>
      </c>
      <c r="F36" s="1621"/>
      <c r="G36" s="1621"/>
      <c r="H36" s="680" t="s">
        <v>34</v>
      </c>
      <c r="I36" s="746">
        <v>1</v>
      </c>
      <c r="J36" s="612">
        <v>164000000</v>
      </c>
      <c r="K36" s="612">
        <v>164000000</v>
      </c>
      <c r="L36" s="867">
        <f t="shared" si="19"/>
        <v>24600000</v>
      </c>
      <c r="M36" s="867">
        <f t="shared" si="12"/>
        <v>65600000</v>
      </c>
      <c r="N36" s="867">
        <f t="shared" si="20"/>
        <v>49200000</v>
      </c>
      <c r="O36" s="47">
        <f t="shared" si="21"/>
        <v>24600000</v>
      </c>
      <c r="P36" s="44"/>
      <c r="Q36" s="47">
        <f t="shared" si="3"/>
        <v>164000000</v>
      </c>
      <c r="R36" s="747"/>
      <c r="S36" s="488"/>
      <c r="T36" s="731">
        <f t="shared" si="10"/>
        <v>0</v>
      </c>
    </row>
    <row r="37" spans="2:20" s="229" customFormat="1" ht="23.25" customHeight="1" x14ac:dyDescent="0.25">
      <c r="B37" s="59"/>
      <c r="C37" s="39"/>
      <c r="D37" s="140" t="s">
        <v>22</v>
      </c>
      <c r="E37" s="1608" t="s">
        <v>33</v>
      </c>
      <c r="F37" s="1609"/>
      <c r="G37" s="1610"/>
      <c r="H37" s="811" t="s">
        <v>498</v>
      </c>
      <c r="I37" s="81">
        <v>1</v>
      </c>
      <c r="J37" s="613">
        <f>200000000+900000000</f>
        <v>1100000000</v>
      </c>
      <c r="K37" s="613">
        <v>1100000000</v>
      </c>
      <c r="L37" s="868">
        <f t="shared" si="19"/>
        <v>165000000</v>
      </c>
      <c r="M37" s="868">
        <f t="shared" si="12"/>
        <v>440000000</v>
      </c>
      <c r="N37" s="868">
        <f t="shared" si="20"/>
        <v>330000000</v>
      </c>
      <c r="O37" s="52">
        <f t="shared" si="21"/>
        <v>165000000</v>
      </c>
      <c r="P37" s="44"/>
      <c r="Q37" s="52">
        <f t="shared" si="3"/>
        <v>1100000000</v>
      </c>
      <c r="R37" s="549"/>
      <c r="S37" s="488"/>
      <c r="T37" s="925">
        <f t="shared" si="10"/>
        <v>0</v>
      </c>
    </row>
    <row r="38" spans="2:20" s="29" customFormat="1" ht="3.75" customHeight="1" x14ac:dyDescent="0.25">
      <c r="B38" s="13"/>
      <c r="C38" s="54"/>
      <c r="D38" s="55"/>
      <c r="E38" s="75"/>
      <c r="F38" s="1614"/>
      <c r="G38" s="1615"/>
      <c r="H38" s="56"/>
      <c r="I38" s="57"/>
      <c r="J38" s="614"/>
      <c r="K38" s="614"/>
      <c r="L38" s="869"/>
      <c r="M38" s="869"/>
      <c r="N38" s="869"/>
      <c r="O38" s="58"/>
      <c r="P38" s="44"/>
      <c r="Q38" s="58">
        <f t="shared" si="3"/>
        <v>0</v>
      </c>
      <c r="R38" s="546"/>
      <c r="S38" s="488"/>
      <c r="T38" s="396">
        <f t="shared" si="10"/>
        <v>0</v>
      </c>
    </row>
    <row r="39" spans="2:20" s="15" customFormat="1" ht="23.25" customHeight="1" x14ac:dyDescent="0.25">
      <c r="B39" s="13"/>
      <c r="C39" s="34" t="s">
        <v>435</v>
      </c>
      <c r="D39" s="1599" t="s">
        <v>59</v>
      </c>
      <c r="E39" s="1600"/>
      <c r="F39" s="1600"/>
      <c r="G39" s="1601"/>
      <c r="H39" s="35" t="s">
        <v>60</v>
      </c>
      <c r="I39" s="36"/>
      <c r="J39" s="610">
        <f t="shared" ref="J39:O39" si="22">SUM(J40)</f>
        <v>329692000</v>
      </c>
      <c r="K39" s="610">
        <f t="shared" si="22"/>
        <v>329692000</v>
      </c>
      <c r="L39" s="865">
        <f t="shared" si="22"/>
        <v>49453800</v>
      </c>
      <c r="M39" s="865">
        <f t="shared" si="22"/>
        <v>131876800</v>
      </c>
      <c r="N39" s="865">
        <f t="shared" si="22"/>
        <v>98907600</v>
      </c>
      <c r="O39" s="37">
        <f t="shared" si="22"/>
        <v>49453800</v>
      </c>
      <c r="P39" s="38"/>
      <c r="Q39" s="37">
        <f t="shared" si="3"/>
        <v>329692000</v>
      </c>
      <c r="R39" s="547"/>
      <c r="S39" s="487"/>
      <c r="T39" s="396">
        <f t="shared" si="10"/>
        <v>0</v>
      </c>
    </row>
    <row r="40" spans="2:20" s="29" customFormat="1" ht="19.5" customHeight="1" x14ac:dyDescent="0.25">
      <c r="B40" s="13"/>
      <c r="C40" s="76"/>
      <c r="D40" s="77" t="s">
        <v>5</v>
      </c>
      <c r="E40" s="1602" t="s">
        <v>61</v>
      </c>
      <c r="F40" s="1603"/>
      <c r="G40" s="1604"/>
      <c r="H40" s="50" t="s">
        <v>62</v>
      </c>
      <c r="I40" s="51">
        <v>1</v>
      </c>
      <c r="J40" s="613">
        <f>347700000-18008000</f>
        <v>329692000</v>
      </c>
      <c r="K40" s="613">
        <f>347700000-18008000</f>
        <v>329692000</v>
      </c>
      <c r="L40" s="868">
        <f t="shared" ref="L40" si="23">K40*$V$8</f>
        <v>49453800</v>
      </c>
      <c r="M40" s="868">
        <f t="shared" ref="M40" si="24">K40*$W$8</f>
        <v>131876800</v>
      </c>
      <c r="N40" s="868">
        <f t="shared" ref="N40" si="25">K40*$X$8</f>
        <v>98907600</v>
      </c>
      <c r="O40" s="52">
        <f>K40*$Y$8</f>
        <v>49453800</v>
      </c>
      <c r="P40" s="44"/>
      <c r="Q40" s="52">
        <f t="shared" si="3"/>
        <v>329692000</v>
      </c>
      <c r="R40" s="545"/>
      <c r="S40" s="488"/>
      <c r="T40" s="396">
        <f t="shared" si="10"/>
        <v>0</v>
      </c>
    </row>
    <row r="41" spans="2:20" s="29" customFormat="1" ht="3.75" customHeight="1" x14ac:dyDescent="0.25">
      <c r="B41" s="13"/>
      <c r="C41" s="91"/>
      <c r="D41" s="92"/>
      <c r="E41" s="1613"/>
      <c r="F41" s="1614"/>
      <c r="G41" s="1615"/>
      <c r="H41" s="93"/>
      <c r="I41" s="470"/>
      <c r="J41" s="619"/>
      <c r="K41" s="619"/>
      <c r="L41" s="874"/>
      <c r="M41" s="874"/>
      <c r="N41" s="874"/>
      <c r="O41" s="94"/>
      <c r="P41" s="44"/>
      <c r="Q41" s="94">
        <f t="shared" si="3"/>
        <v>0</v>
      </c>
      <c r="R41" s="548"/>
      <c r="S41" s="488"/>
      <c r="T41" s="396">
        <f t="shared" si="10"/>
        <v>0</v>
      </c>
    </row>
    <row r="42" spans="2:20" s="15" customFormat="1" ht="22.5" customHeight="1" x14ac:dyDescent="0.25">
      <c r="B42" s="13"/>
      <c r="C42" s="34" t="s">
        <v>436</v>
      </c>
      <c r="D42" s="1599" t="s">
        <v>63</v>
      </c>
      <c r="E42" s="1600"/>
      <c r="F42" s="1600"/>
      <c r="G42" s="1601"/>
      <c r="H42" s="35" t="s">
        <v>64</v>
      </c>
      <c r="I42" s="36"/>
      <c r="J42" s="610">
        <f t="shared" ref="J42:O42" si="26">J43</f>
        <v>250000000</v>
      </c>
      <c r="K42" s="610">
        <f t="shared" si="26"/>
        <v>250000000</v>
      </c>
      <c r="L42" s="865">
        <f t="shared" si="26"/>
        <v>37500000</v>
      </c>
      <c r="M42" s="865">
        <f t="shared" si="26"/>
        <v>100000000</v>
      </c>
      <c r="N42" s="865">
        <f t="shared" si="26"/>
        <v>75000000</v>
      </c>
      <c r="O42" s="37">
        <f t="shared" si="26"/>
        <v>37500000</v>
      </c>
      <c r="P42" s="38"/>
      <c r="Q42" s="37">
        <f t="shared" si="3"/>
        <v>250000000</v>
      </c>
      <c r="R42" s="547"/>
      <c r="S42" s="487"/>
      <c r="T42" s="396">
        <f t="shared" si="10"/>
        <v>0</v>
      </c>
    </row>
    <row r="43" spans="2:20" s="82" customFormat="1" ht="31.5" customHeight="1" x14ac:dyDescent="0.25">
      <c r="B43" s="59"/>
      <c r="C43" s="78"/>
      <c r="D43" s="79" t="s">
        <v>5</v>
      </c>
      <c r="E43" s="1593" t="s">
        <v>65</v>
      </c>
      <c r="F43" s="1594"/>
      <c r="G43" s="1595"/>
      <c r="H43" s="80" t="s">
        <v>66</v>
      </c>
      <c r="I43" s="81">
        <v>1</v>
      </c>
      <c r="J43" s="613">
        <f>300000000-50000000</f>
        <v>250000000</v>
      </c>
      <c r="K43" s="613">
        <f>300000000-50000000</f>
        <v>250000000</v>
      </c>
      <c r="L43" s="868">
        <f t="shared" ref="L43" si="27">K43*$V$8</f>
        <v>37500000</v>
      </c>
      <c r="M43" s="868">
        <f t="shared" ref="M43" si="28">K43*$W$8</f>
        <v>100000000</v>
      </c>
      <c r="N43" s="868">
        <f t="shared" ref="N43" si="29">K43*$X$8</f>
        <v>75000000</v>
      </c>
      <c r="O43" s="52">
        <f>K43*$Y$8</f>
        <v>37500000</v>
      </c>
      <c r="P43" s="44"/>
      <c r="Q43" s="52">
        <f t="shared" si="3"/>
        <v>250000000</v>
      </c>
      <c r="R43" s="549"/>
      <c r="S43" s="488"/>
      <c r="T43" s="731">
        <f t="shared" si="10"/>
        <v>0</v>
      </c>
    </row>
    <row r="44" spans="2:20" s="15" customFormat="1" ht="4.5" customHeight="1" x14ac:dyDescent="0.25">
      <c r="B44" s="13"/>
      <c r="C44" s="83"/>
      <c r="D44" s="84"/>
      <c r="E44" s="1596"/>
      <c r="F44" s="1597"/>
      <c r="G44" s="1598"/>
      <c r="H44" s="41"/>
      <c r="I44" s="57"/>
      <c r="J44" s="614"/>
      <c r="K44" s="614"/>
      <c r="L44" s="869"/>
      <c r="M44" s="869"/>
      <c r="N44" s="869"/>
      <c r="O44" s="58"/>
      <c r="P44" s="44"/>
      <c r="Q44" s="58">
        <f t="shared" si="3"/>
        <v>0</v>
      </c>
      <c r="R44" s="546"/>
      <c r="S44" s="488"/>
      <c r="T44" s="396">
        <f t="shared" si="10"/>
        <v>0</v>
      </c>
    </row>
    <row r="45" spans="2:20" s="15" customFormat="1" ht="33" customHeight="1" x14ac:dyDescent="0.25">
      <c r="B45" s="13"/>
      <c r="C45" s="34" t="s">
        <v>437</v>
      </c>
      <c r="D45" s="1599" t="s">
        <v>67</v>
      </c>
      <c r="E45" s="1600"/>
      <c r="F45" s="1600"/>
      <c r="G45" s="1601"/>
      <c r="H45" s="35" t="s">
        <v>68</v>
      </c>
      <c r="I45" s="36"/>
      <c r="J45" s="610">
        <f t="shared" ref="J45:O45" si="30">SUM(J46:J49)</f>
        <v>1472000000</v>
      </c>
      <c r="K45" s="610">
        <f t="shared" si="30"/>
        <v>1472000000</v>
      </c>
      <c r="L45" s="865">
        <f t="shared" si="30"/>
        <v>220800000</v>
      </c>
      <c r="M45" s="865">
        <f t="shared" si="30"/>
        <v>588800000</v>
      </c>
      <c r="N45" s="865">
        <f t="shared" si="30"/>
        <v>441600000</v>
      </c>
      <c r="O45" s="37">
        <f t="shared" si="30"/>
        <v>220800000</v>
      </c>
      <c r="P45" s="38"/>
      <c r="Q45" s="37">
        <f t="shared" si="3"/>
        <v>1472000000</v>
      </c>
      <c r="R45" s="547"/>
      <c r="S45" s="487"/>
      <c r="T45" s="396">
        <f t="shared" si="10"/>
        <v>0</v>
      </c>
    </row>
    <row r="46" spans="2:20" s="29" customFormat="1" ht="16.5" customHeight="1" x14ac:dyDescent="0.25">
      <c r="B46" s="13"/>
      <c r="C46" s="54"/>
      <c r="D46" s="55" t="s">
        <v>5</v>
      </c>
      <c r="E46" s="1602" t="s">
        <v>69</v>
      </c>
      <c r="F46" s="1603"/>
      <c r="G46" s="1604"/>
      <c r="H46" s="41" t="s">
        <v>466</v>
      </c>
      <c r="I46" s="85">
        <v>1</v>
      </c>
      <c r="J46" s="614">
        <v>300000000</v>
      </c>
      <c r="K46" s="614">
        <v>300000000</v>
      </c>
      <c r="L46" s="869">
        <f t="shared" ref="L46:L49" si="31">K46*$V$8</f>
        <v>45000000</v>
      </c>
      <c r="M46" s="869">
        <f t="shared" ref="M46:M49" si="32">K46*$W$8</f>
        <v>120000000</v>
      </c>
      <c r="N46" s="869">
        <f t="shared" ref="N46:N49" si="33">K46*$X$8</f>
        <v>90000000</v>
      </c>
      <c r="O46" s="58">
        <f t="shared" ref="O46:O49" si="34">K46*$Y$8</f>
        <v>45000000</v>
      </c>
      <c r="P46" s="44"/>
      <c r="Q46" s="58">
        <f t="shared" si="3"/>
        <v>300000000</v>
      </c>
      <c r="R46" s="550"/>
      <c r="S46" s="488"/>
      <c r="T46" s="396">
        <f t="shared" si="10"/>
        <v>0</v>
      </c>
    </row>
    <row r="47" spans="2:20" s="29" customFormat="1" ht="16.5" customHeight="1" x14ac:dyDescent="0.25">
      <c r="B47" s="13"/>
      <c r="C47" s="54"/>
      <c r="D47" s="55" t="s">
        <v>10</v>
      </c>
      <c r="E47" s="1584" t="s">
        <v>70</v>
      </c>
      <c r="F47" s="1585"/>
      <c r="G47" s="1586"/>
      <c r="H47" s="46" t="s">
        <v>71</v>
      </c>
      <c r="I47" s="42">
        <v>1</v>
      </c>
      <c r="J47" s="620">
        <v>350000000</v>
      </c>
      <c r="K47" s="620">
        <v>350000000</v>
      </c>
      <c r="L47" s="875">
        <f t="shared" si="31"/>
        <v>52500000</v>
      </c>
      <c r="M47" s="875">
        <f t="shared" si="32"/>
        <v>140000000</v>
      </c>
      <c r="N47" s="875">
        <f t="shared" si="33"/>
        <v>105000000</v>
      </c>
      <c r="O47" s="86">
        <f t="shared" si="34"/>
        <v>52500000</v>
      </c>
      <c r="P47" s="44"/>
      <c r="Q47" s="86">
        <f t="shared" si="3"/>
        <v>350000000</v>
      </c>
      <c r="R47" s="551"/>
      <c r="S47" s="488"/>
      <c r="T47" s="396">
        <f t="shared" si="10"/>
        <v>0</v>
      </c>
    </row>
    <row r="48" spans="2:20" s="29" customFormat="1" ht="16.5" customHeight="1" x14ac:dyDescent="0.25">
      <c r="B48" s="13"/>
      <c r="C48" s="87"/>
      <c r="D48" s="88" t="s">
        <v>13</v>
      </c>
      <c r="E48" s="1605" t="s">
        <v>72</v>
      </c>
      <c r="F48" s="1606"/>
      <c r="G48" s="1607"/>
      <c r="H48" s="46" t="s">
        <v>73</v>
      </c>
      <c r="I48" s="42">
        <v>1</v>
      </c>
      <c r="J48" s="612">
        <f>722000000</f>
        <v>722000000</v>
      </c>
      <c r="K48" s="612">
        <f>722000000</f>
        <v>722000000</v>
      </c>
      <c r="L48" s="867">
        <f t="shared" si="31"/>
        <v>108300000</v>
      </c>
      <c r="M48" s="867">
        <f t="shared" si="32"/>
        <v>288800000</v>
      </c>
      <c r="N48" s="867">
        <f t="shared" si="33"/>
        <v>216600000</v>
      </c>
      <c r="O48" s="47">
        <f t="shared" si="34"/>
        <v>108300000</v>
      </c>
      <c r="P48" s="44"/>
      <c r="Q48" s="47">
        <f t="shared" si="3"/>
        <v>722000000</v>
      </c>
      <c r="R48" s="551"/>
      <c r="S48" s="488"/>
      <c r="T48" s="396">
        <f t="shared" si="10"/>
        <v>0</v>
      </c>
    </row>
    <row r="49" spans="2:22" s="29" customFormat="1" ht="28.5" customHeight="1" x14ac:dyDescent="0.25">
      <c r="B49" s="13"/>
      <c r="C49" s="76"/>
      <c r="D49" s="89" t="s">
        <v>16</v>
      </c>
      <c r="E49" s="1584" t="s">
        <v>74</v>
      </c>
      <c r="F49" s="1585"/>
      <c r="G49" s="1586"/>
      <c r="H49" s="50" t="s">
        <v>467</v>
      </c>
      <c r="I49" s="51">
        <v>1</v>
      </c>
      <c r="J49" s="621">
        <v>100000000</v>
      </c>
      <c r="K49" s="621">
        <v>100000000</v>
      </c>
      <c r="L49" s="876">
        <f t="shared" si="31"/>
        <v>15000000</v>
      </c>
      <c r="M49" s="876">
        <f t="shared" si="32"/>
        <v>40000000</v>
      </c>
      <c r="N49" s="876">
        <f t="shared" si="33"/>
        <v>30000000</v>
      </c>
      <c r="O49" s="90">
        <f t="shared" si="34"/>
        <v>15000000</v>
      </c>
      <c r="P49" s="44"/>
      <c r="Q49" s="90">
        <f t="shared" si="3"/>
        <v>100000000</v>
      </c>
      <c r="R49" s="545"/>
      <c r="S49" s="488"/>
      <c r="T49" s="396">
        <f t="shared" si="10"/>
        <v>0</v>
      </c>
    </row>
    <row r="50" spans="2:22" ht="3.75" customHeight="1" x14ac:dyDescent="0.25">
      <c r="C50" s="95"/>
      <c r="D50" s="96"/>
      <c r="E50" s="673"/>
      <c r="F50" s="97"/>
      <c r="G50" s="674"/>
      <c r="H50" s="98"/>
      <c r="I50" s="99"/>
      <c r="J50" s="622"/>
      <c r="K50" s="622"/>
      <c r="L50" s="877"/>
      <c r="M50" s="877"/>
      <c r="N50" s="877"/>
      <c r="O50" s="100"/>
      <c r="P50" s="101"/>
      <c r="Q50" s="100">
        <f t="shared" si="3"/>
        <v>0</v>
      </c>
      <c r="R50" s="552"/>
      <c r="S50" s="491"/>
      <c r="T50" s="924">
        <f t="shared" si="10"/>
        <v>0</v>
      </c>
    </row>
    <row r="51" spans="2:22" s="15" customFormat="1" ht="30" customHeight="1" x14ac:dyDescent="0.25">
      <c r="B51" s="13"/>
      <c r="C51" s="102"/>
      <c r="D51" s="1587" t="s">
        <v>75</v>
      </c>
      <c r="E51" s="1588"/>
      <c r="F51" s="1588"/>
      <c r="G51" s="1588"/>
      <c r="H51" s="1588"/>
      <c r="I51" s="1589"/>
      <c r="J51" s="623">
        <f t="shared" ref="J51:O51" si="35">J52+J131+J156+J161+J169+J210+J214+J218+J225+J241+J247</f>
        <v>296526922971</v>
      </c>
      <c r="K51" s="623">
        <f t="shared" si="35"/>
        <v>296526922971</v>
      </c>
      <c r="L51" s="878">
        <f t="shared" si="35"/>
        <v>59305384594.199997</v>
      </c>
      <c r="M51" s="878">
        <f t="shared" si="35"/>
        <v>114994685188.39999</v>
      </c>
      <c r="N51" s="878">
        <f t="shared" si="35"/>
        <v>114994685188.39999</v>
      </c>
      <c r="O51" s="103">
        <f t="shared" si="35"/>
        <v>7232168000</v>
      </c>
      <c r="P51" s="104"/>
      <c r="Q51" s="103">
        <f t="shared" si="3"/>
        <v>296526922971</v>
      </c>
      <c r="R51" s="593"/>
      <c r="S51" s="14"/>
      <c r="T51" s="396">
        <f t="shared" si="10"/>
        <v>0</v>
      </c>
    </row>
    <row r="52" spans="2:22" s="15" customFormat="1" ht="32.25" customHeight="1" x14ac:dyDescent="0.25">
      <c r="B52" s="13"/>
      <c r="C52" s="1506" t="s">
        <v>438</v>
      </c>
      <c r="D52" s="1507"/>
      <c r="E52" s="1590" t="s">
        <v>76</v>
      </c>
      <c r="F52" s="1591"/>
      <c r="G52" s="1592"/>
      <c r="H52" s="105" t="s">
        <v>77</v>
      </c>
      <c r="I52" s="106"/>
      <c r="J52" s="624">
        <f t="shared" ref="J52:O52" si="36">J53+J54+J57+J61+J64+J65+J66+J67+J89+J91+J94+J98+J106+J109+J113+J118+J120+J122+J124+J127</f>
        <v>175815000000</v>
      </c>
      <c r="K52" s="624">
        <f t="shared" si="36"/>
        <v>179015000000</v>
      </c>
      <c r="L52" s="879">
        <f t="shared" si="36"/>
        <v>35803000000</v>
      </c>
      <c r="M52" s="879">
        <f t="shared" si="36"/>
        <v>71531000000</v>
      </c>
      <c r="N52" s="879">
        <f t="shared" si="36"/>
        <v>71531000000</v>
      </c>
      <c r="O52" s="107">
        <f t="shared" si="36"/>
        <v>150000000</v>
      </c>
      <c r="P52" s="108"/>
      <c r="Q52" s="107">
        <f t="shared" si="3"/>
        <v>179015000000</v>
      </c>
      <c r="R52" s="515"/>
      <c r="S52" s="108"/>
      <c r="T52" s="396">
        <f t="shared" si="10"/>
        <v>0</v>
      </c>
      <c r="U52" s="21">
        <v>172915000000</v>
      </c>
    </row>
    <row r="53" spans="2:22" s="113" customFormat="1" ht="27.75" customHeight="1" x14ac:dyDescent="0.25">
      <c r="B53" s="59"/>
      <c r="C53" s="114"/>
      <c r="D53" s="447"/>
      <c r="E53" s="88" t="s">
        <v>5</v>
      </c>
      <c r="F53" s="1579" t="s">
        <v>78</v>
      </c>
      <c r="G53" s="1580"/>
      <c r="H53" s="165" t="s">
        <v>79</v>
      </c>
      <c r="I53" s="110">
        <v>1</v>
      </c>
      <c r="J53" s="625">
        <f>550000000+200000000</f>
        <v>750000000</v>
      </c>
      <c r="K53" s="625">
        <f>550000000+200000000</f>
        <v>750000000</v>
      </c>
      <c r="L53" s="880">
        <f>K53*$V$9</f>
        <v>150000000</v>
      </c>
      <c r="M53" s="880">
        <f>K53*$W$11</f>
        <v>225000000</v>
      </c>
      <c r="N53" s="880">
        <f>K53*$X$11</f>
        <v>225000000</v>
      </c>
      <c r="O53" s="111">
        <f>K53*$Y$11</f>
        <v>150000000</v>
      </c>
      <c r="P53" s="112"/>
      <c r="Q53" s="111">
        <f t="shared" si="3"/>
        <v>750000000</v>
      </c>
      <c r="R53" s="553"/>
      <c r="S53" s="112"/>
      <c r="T53" s="926">
        <f t="shared" si="10"/>
        <v>0</v>
      </c>
    </row>
    <row r="54" spans="2:22" s="113" customFormat="1" ht="19.5" customHeight="1" x14ac:dyDescent="0.25">
      <c r="B54" s="59"/>
      <c r="C54" s="39"/>
      <c r="D54" s="109"/>
      <c r="E54" s="450" t="s">
        <v>10</v>
      </c>
      <c r="F54" s="1577" t="s">
        <v>80</v>
      </c>
      <c r="G54" s="1578"/>
      <c r="H54" s="173" t="s">
        <v>411</v>
      </c>
      <c r="I54" s="445" t="s">
        <v>430</v>
      </c>
      <c r="J54" s="626">
        <f>J55+J56</f>
        <v>850000000</v>
      </c>
      <c r="K54" s="626">
        <f>K55+K56</f>
        <v>850000000</v>
      </c>
      <c r="L54" s="881">
        <f t="shared" ref="L54:L117" si="37">K54*$V$9</f>
        <v>170000000</v>
      </c>
      <c r="M54" s="881">
        <f t="shared" ref="M54:M117" si="38">K54*$W$9</f>
        <v>340000000</v>
      </c>
      <c r="N54" s="881">
        <f t="shared" ref="N54:N117" si="39">K54*$X$9</f>
        <v>340000000</v>
      </c>
      <c r="O54" s="117">
        <f t="shared" ref="O54:O117" si="40">K54*$Y$9</f>
        <v>0</v>
      </c>
      <c r="P54" s="118"/>
      <c r="Q54" s="117">
        <f t="shared" si="3"/>
        <v>850000000</v>
      </c>
      <c r="R54" s="554"/>
      <c r="S54" s="118"/>
      <c r="T54" s="926">
        <f t="shared" si="10"/>
        <v>0</v>
      </c>
    </row>
    <row r="55" spans="2:22" s="113" customFormat="1" hidden="1" x14ac:dyDescent="0.25">
      <c r="B55" s="59"/>
      <c r="C55" s="119"/>
      <c r="D55" s="120"/>
      <c r="E55" s="121"/>
      <c r="F55" s="122" t="s">
        <v>46</v>
      </c>
      <c r="G55" s="123" t="s">
        <v>81</v>
      </c>
      <c r="H55" s="601"/>
      <c r="I55" s="124" t="s">
        <v>86</v>
      </c>
      <c r="J55" s="627">
        <v>500000000</v>
      </c>
      <c r="K55" s="627">
        <v>500000000</v>
      </c>
      <c r="L55" s="882">
        <f t="shared" si="37"/>
        <v>100000000</v>
      </c>
      <c r="M55" s="882">
        <f t="shared" si="38"/>
        <v>200000000</v>
      </c>
      <c r="N55" s="882">
        <f t="shared" si="39"/>
        <v>200000000</v>
      </c>
      <c r="O55" s="125">
        <f t="shared" si="40"/>
        <v>0</v>
      </c>
      <c r="P55" s="126"/>
      <c r="Q55" s="125">
        <f t="shared" si="3"/>
        <v>500000000</v>
      </c>
      <c r="R55" s="555"/>
      <c r="S55" s="126"/>
      <c r="T55" s="926">
        <f t="shared" si="10"/>
        <v>0</v>
      </c>
    </row>
    <row r="56" spans="2:22" s="113" customFormat="1" hidden="1" x14ac:dyDescent="0.25">
      <c r="B56" s="59"/>
      <c r="C56" s="119"/>
      <c r="D56" s="120"/>
      <c r="E56" s="121"/>
      <c r="F56" s="122" t="s">
        <v>46</v>
      </c>
      <c r="G56" s="123" t="s">
        <v>82</v>
      </c>
      <c r="H56" s="601"/>
      <c r="I56" s="124" t="s">
        <v>86</v>
      </c>
      <c r="J56" s="627">
        <v>350000000</v>
      </c>
      <c r="K56" s="627">
        <v>350000000</v>
      </c>
      <c r="L56" s="882">
        <f t="shared" si="37"/>
        <v>70000000</v>
      </c>
      <c r="M56" s="882">
        <f t="shared" si="38"/>
        <v>140000000</v>
      </c>
      <c r="N56" s="882">
        <f t="shared" si="39"/>
        <v>140000000</v>
      </c>
      <c r="O56" s="125">
        <f t="shared" si="40"/>
        <v>0</v>
      </c>
      <c r="P56" s="126"/>
      <c r="Q56" s="125">
        <f t="shared" si="3"/>
        <v>350000000</v>
      </c>
      <c r="R56" s="555"/>
      <c r="S56" s="126"/>
      <c r="T56" s="926">
        <f t="shared" si="10"/>
        <v>0</v>
      </c>
    </row>
    <row r="57" spans="2:22" s="113" customFormat="1" ht="21" customHeight="1" x14ac:dyDescent="0.25">
      <c r="B57" s="59"/>
      <c r="C57" s="39"/>
      <c r="D57" s="109"/>
      <c r="E57" s="449" t="s">
        <v>13</v>
      </c>
      <c r="F57" s="1581" t="s">
        <v>83</v>
      </c>
      <c r="G57" s="1581"/>
      <c r="H57" s="469" t="s">
        <v>412</v>
      </c>
      <c r="I57" s="444" t="s">
        <v>430</v>
      </c>
      <c r="J57" s="626">
        <f>SUM(J58:J59)</f>
        <v>400000000</v>
      </c>
      <c r="K57" s="626">
        <f>SUM(K58:K59)</f>
        <v>400000000</v>
      </c>
      <c r="L57" s="881">
        <f t="shared" si="37"/>
        <v>80000000</v>
      </c>
      <c r="M57" s="881">
        <f t="shared" si="38"/>
        <v>160000000</v>
      </c>
      <c r="N57" s="881">
        <f t="shared" si="39"/>
        <v>160000000</v>
      </c>
      <c r="O57" s="117">
        <f t="shared" si="40"/>
        <v>0</v>
      </c>
      <c r="P57" s="118"/>
      <c r="Q57" s="117">
        <f t="shared" si="3"/>
        <v>400000000</v>
      </c>
      <c r="R57" s="556"/>
      <c r="S57" s="118"/>
      <c r="T57" s="926">
        <f t="shared" si="10"/>
        <v>0</v>
      </c>
    </row>
    <row r="58" spans="2:22" s="113" customFormat="1" hidden="1" x14ac:dyDescent="0.25">
      <c r="B58" s="59"/>
      <c r="C58" s="127"/>
      <c r="D58" s="128"/>
      <c r="E58" s="129"/>
      <c r="F58" s="130" t="s">
        <v>46</v>
      </c>
      <c r="G58" s="131" t="s">
        <v>84</v>
      </c>
      <c r="H58" s="602"/>
      <c r="I58" s="116" t="s">
        <v>86</v>
      </c>
      <c r="J58" s="627">
        <v>200000000</v>
      </c>
      <c r="K58" s="627">
        <v>200000000</v>
      </c>
      <c r="L58" s="882">
        <f t="shared" si="37"/>
        <v>40000000</v>
      </c>
      <c r="M58" s="882">
        <f t="shared" si="38"/>
        <v>80000000</v>
      </c>
      <c r="N58" s="882">
        <f t="shared" si="39"/>
        <v>80000000</v>
      </c>
      <c r="O58" s="125">
        <f t="shared" si="40"/>
        <v>0</v>
      </c>
      <c r="P58" s="126"/>
      <c r="Q58" s="125">
        <f t="shared" si="3"/>
        <v>200000000</v>
      </c>
      <c r="R58" s="557"/>
      <c r="S58" s="126"/>
      <c r="T58" s="926">
        <f t="shared" si="10"/>
        <v>0</v>
      </c>
    </row>
    <row r="59" spans="2:22" s="113" customFormat="1" ht="14.25" hidden="1" customHeight="1" x14ac:dyDescent="0.25">
      <c r="B59" s="59"/>
      <c r="C59" s="119"/>
      <c r="D59" s="120"/>
      <c r="E59" s="121"/>
      <c r="F59" s="122" t="s">
        <v>46</v>
      </c>
      <c r="G59" s="123" t="s">
        <v>85</v>
      </c>
      <c r="H59" s="601"/>
      <c r="I59" s="124" t="s">
        <v>86</v>
      </c>
      <c r="J59" s="627">
        <v>200000000</v>
      </c>
      <c r="K59" s="627">
        <v>200000000</v>
      </c>
      <c r="L59" s="882">
        <f t="shared" si="37"/>
        <v>40000000</v>
      </c>
      <c r="M59" s="882">
        <f t="shared" si="38"/>
        <v>80000000</v>
      </c>
      <c r="N59" s="882">
        <f t="shared" si="39"/>
        <v>80000000</v>
      </c>
      <c r="O59" s="125">
        <f t="shared" si="40"/>
        <v>0</v>
      </c>
      <c r="P59" s="126"/>
      <c r="Q59" s="125">
        <f t="shared" si="3"/>
        <v>200000000</v>
      </c>
      <c r="R59" s="555"/>
      <c r="S59" s="126"/>
      <c r="T59" s="926">
        <f t="shared" si="10"/>
        <v>0</v>
      </c>
    </row>
    <row r="60" spans="2:22" s="82" customFormat="1" ht="20.25" customHeight="1" x14ac:dyDescent="0.25">
      <c r="B60" s="59"/>
      <c r="C60" s="39"/>
      <c r="D60" s="109"/>
      <c r="E60" s="88" t="s">
        <v>16</v>
      </c>
      <c r="F60" s="1582" t="s">
        <v>87</v>
      </c>
      <c r="G60" s="1583"/>
      <c r="H60" s="676" t="s">
        <v>413</v>
      </c>
      <c r="I60" s="134">
        <v>1</v>
      </c>
      <c r="J60" s="628">
        <v>0</v>
      </c>
      <c r="K60" s="628">
        <v>0</v>
      </c>
      <c r="L60" s="883">
        <f t="shared" si="37"/>
        <v>0</v>
      </c>
      <c r="M60" s="883">
        <f t="shared" si="38"/>
        <v>0</v>
      </c>
      <c r="N60" s="883">
        <f t="shared" si="39"/>
        <v>0</v>
      </c>
      <c r="O60" s="135">
        <f t="shared" si="40"/>
        <v>0</v>
      </c>
      <c r="P60" s="108"/>
      <c r="Q60" s="135">
        <f t="shared" si="3"/>
        <v>0</v>
      </c>
      <c r="R60" s="558"/>
      <c r="S60" s="108"/>
      <c r="T60" s="731">
        <f t="shared" si="10"/>
        <v>0</v>
      </c>
    </row>
    <row r="61" spans="2:22" s="82" customFormat="1" ht="29.25" customHeight="1" x14ac:dyDescent="0.25">
      <c r="B61" s="59"/>
      <c r="C61" s="39"/>
      <c r="D61" s="109"/>
      <c r="E61" s="88" t="s">
        <v>19</v>
      </c>
      <c r="F61" s="1582" t="s">
        <v>88</v>
      </c>
      <c r="G61" s="1583"/>
      <c r="H61" s="469" t="s">
        <v>414</v>
      </c>
      <c r="I61" s="443" t="s">
        <v>430</v>
      </c>
      <c r="J61" s="626">
        <f>SUM(J62:J63)</f>
        <v>900000000</v>
      </c>
      <c r="K61" s="626">
        <f>SUM(K62:K63)</f>
        <v>900000000</v>
      </c>
      <c r="L61" s="881">
        <f t="shared" si="37"/>
        <v>180000000</v>
      </c>
      <c r="M61" s="881">
        <f t="shared" si="38"/>
        <v>360000000</v>
      </c>
      <c r="N61" s="881">
        <f t="shared" si="39"/>
        <v>360000000</v>
      </c>
      <c r="O61" s="117">
        <f t="shared" si="40"/>
        <v>0</v>
      </c>
      <c r="P61" s="118"/>
      <c r="Q61" s="117">
        <f t="shared" si="3"/>
        <v>900000000</v>
      </c>
      <c r="R61" s="559"/>
      <c r="S61" s="118"/>
      <c r="T61" s="731">
        <f t="shared" si="10"/>
        <v>0</v>
      </c>
    </row>
    <row r="62" spans="2:22" s="113" customFormat="1" ht="15.75" hidden="1" customHeight="1" x14ac:dyDescent="0.25">
      <c r="B62" s="59"/>
      <c r="C62" s="119"/>
      <c r="D62" s="120"/>
      <c r="E62" s="121"/>
      <c r="F62" s="122" t="s">
        <v>46</v>
      </c>
      <c r="G62" s="138" t="s">
        <v>392</v>
      </c>
      <c r="H62" s="601"/>
      <c r="I62" s="137" t="s">
        <v>86</v>
      </c>
      <c r="J62" s="627">
        <v>600000000</v>
      </c>
      <c r="K62" s="627">
        <v>600000000</v>
      </c>
      <c r="L62" s="882">
        <f t="shared" si="37"/>
        <v>120000000</v>
      </c>
      <c r="M62" s="882">
        <f t="shared" si="38"/>
        <v>240000000</v>
      </c>
      <c r="N62" s="882">
        <f t="shared" si="39"/>
        <v>240000000</v>
      </c>
      <c r="O62" s="125">
        <f t="shared" si="40"/>
        <v>0</v>
      </c>
      <c r="P62" s="126"/>
      <c r="Q62" s="125">
        <f t="shared" si="3"/>
        <v>600000000</v>
      </c>
      <c r="R62" s="560"/>
      <c r="S62" s="126"/>
      <c r="T62" s="926">
        <f t="shared" si="10"/>
        <v>0</v>
      </c>
    </row>
    <row r="63" spans="2:22" s="113" customFormat="1" ht="25.5" hidden="1" x14ac:dyDescent="0.25">
      <c r="B63" s="59"/>
      <c r="C63" s="119"/>
      <c r="D63" s="120"/>
      <c r="E63" s="121"/>
      <c r="F63" s="122" t="s">
        <v>46</v>
      </c>
      <c r="G63" s="138" t="s">
        <v>89</v>
      </c>
      <c r="H63" s="601"/>
      <c r="I63" s="137" t="s">
        <v>86</v>
      </c>
      <c r="J63" s="627">
        <v>300000000</v>
      </c>
      <c r="K63" s="627">
        <v>300000000</v>
      </c>
      <c r="L63" s="882">
        <f t="shared" si="37"/>
        <v>60000000</v>
      </c>
      <c r="M63" s="882">
        <f t="shared" si="38"/>
        <v>120000000</v>
      </c>
      <c r="N63" s="882">
        <f t="shared" si="39"/>
        <v>120000000</v>
      </c>
      <c r="O63" s="125">
        <f t="shared" si="40"/>
        <v>0</v>
      </c>
      <c r="P63" s="126"/>
      <c r="Q63" s="125">
        <f t="shared" si="3"/>
        <v>300000000</v>
      </c>
      <c r="R63" s="519"/>
      <c r="S63" s="126"/>
      <c r="T63" s="926">
        <f t="shared" si="10"/>
        <v>0</v>
      </c>
    </row>
    <row r="64" spans="2:22" s="29" customFormat="1" ht="19.5" customHeight="1" x14ac:dyDescent="0.25">
      <c r="B64" s="13"/>
      <c r="C64" s="39"/>
      <c r="D64" s="140"/>
      <c r="E64" s="109" t="s">
        <v>27</v>
      </c>
      <c r="F64" s="1533" t="s">
        <v>90</v>
      </c>
      <c r="G64" s="1534"/>
      <c r="H64" s="172" t="s">
        <v>91</v>
      </c>
      <c r="I64" s="142" t="s">
        <v>92</v>
      </c>
      <c r="J64" s="629">
        <f>100000000</f>
        <v>100000000</v>
      </c>
      <c r="K64" s="629">
        <f>100000000</f>
        <v>100000000</v>
      </c>
      <c r="L64" s="884">
        <f t="shared" si="37"/>
        <v>20000000</v>
      </c>
      <c r="M64" s="884">
        <f t="shared" si="38"/>
        <v>40000000</v>
      </c>
      <c r="N64" s="884">
        <f t="shared" si="39"/>
        <v>40000000</v>
      </c>
      <c r="O64" s="143">
        <f t="shared" si="40"/>
        <v>0</v>
      </c>
      <c r="P64" s="144"/>
      <c r="Q64" s="143">
        <f t="shared" si="3"/>
        <v>100000000</v>
      </c>
      <c r="R64" s="520"/>
      <c r="S64" s="492"/>
      <c r="T64" s="396">
        <f t="shared" si="10"/>
        <v>0</v>
      </c>
      <c r="V64" s="145"/>
    </row>
    <row r="65" spans="2:22" s="62" customFormat="1" ht="19.5" customHeight="1" x14ac:dyDescent="0.25">
      <c r="B65" s="59"/>
      <c r="C65" s="39"/>
      <c r="D65" s="109"/>
      <c r="E65" s="88" t="s">
        <v>30</v>
      </c>
      <c r="F65" s="1582" t="s">
        <v>93</v>
      </c>
      <c r="G65" s="1583"/>
      <c r="H65" s="676" t="s">
        <v>94</v>
      </c>
      <c r="I65" s="442" t="s">
        <v>481</v>
      </c>
      <c r="J65" s="630">
        <f>7200000000+4000000000</f>
        <v>11200000000</v>
      </c>
      <c r="K65" s="630">
        <f>7200000000+4000000000</f>
        <v>11200000000</v>
      </c>
      <c r="L65" s="885">
        <f t="shared" si="37"/>
        <v>2240000000</v>
      </c>
      <c r="M65" s="885">
        <f t="shared" si="38"/>
        <v>4480000000</v>
      </c>
      <c r="N65" s="885">
        <f t="shared" si="39"/>
        <v>4480000000</v>
      </c>
      <c r="O65" s="146">
        <f t="shared" si="40"/>
        <v>0</v>
      </c>
      <c r="P65" s="147"/>
      <c r="Q65" s="146">
        <f t="shared" si="3"/>
        <v>11200000000</v>
      </c>
      <c r="R65" s="521"/>
      <c r="S65" s="118"/>
      <c r="T65" s="731">
        <f t="shared" si="10"/>
        <v>0</v>
      </c>
      <c r="V65" s="148">
        <f>U65/800000</f>
        <v>0</v>
      </c>
    </row>
    <row r="66" spans="2:22" s="113" customFormat="1" ht="19.5" customHeight="1" x14ac:dyDescent="0.25">
      <c r="B66" s="59"/>
      <c r="C66" s="39"/>
      <c r="D66" s="109"/>
      <c r="E66" s="88" t="s">
        <v>8</v>
      </c>
      <c r="F66" s="1582" t="s">
        <v>95</v>
      </c>
      <c r="G66" s="1583"/>
      <c r="H66" s="469" t="s">
        <v>96</v>
      </c>
      <c r="I66" s="110" t="s">
        <v>429</v>
      </c>
      <c r="J66" s="631">
        <f>16100000000-10000000000+200000000</f>
        <v>6300000000</v>
      </c>
      <c r="K66" s="631">
        <f>16100000000-10000000000+200000000</f>
        <v>6300000000</v>
      </c>
      <c r="L66" s="886">
        <f t="shared" si="37"/>
        <v>1260000000</v>
      </c>
      <c r="M66" s="886">
        <f t="shared" si="38"/>
        <v>2520000000</v>
      </c>
      <c r="N66" s="886">
        <f t="shared" si="39"/>
        <v>2520000000</v>
      </c>
      <c r="O66" s="149">
        <f t="shared" si="40"/>
        <v>0</v>
      </c>
      <c r="P66" s="150"/>
      <c r="Q66" s="149">
        <f t="shared" si="3"/>
        <v>6300000000</v>
      </c>
      <c r="R66" s="516"/>
      <c r="S66" s="112"/>
      <c r="T66" s="926">
        <f t="shared" si="10"/>
        <v>0</v>
      </c>
      <c r="U66" s="151"/>
    </row>
    <row r="67" spans="2:22" s="82" customFormat="1" ht="19.5" customHeight="1" x14ac:dyDescent="0.25">
      <c r="B67" s="59"/>
      <c r="C67" s="39"/>
      <c r="D67" s="109"/>
      <c r="E67" s="88" t="s">
        <v>22</v>
      </c>
      <c r="F67" s="1579" t="s">
        <v>97</v>
      </c>
      <c r="G67" s="1580"/>
      <c r="H67" s="152" t="s">
        <v>98</v>
      </c>
      <c r="I67" s="153">
        <v>1</v>
      </c>
      <c r="J67" s="632">
        <f>SUM(J68:J73)</f>
        <v>6600000000</v>
      </c>
      <c r="K67" s="632">
        <f>SUM(K68:K73)</f>
        <v>6600000000</v>
      </c>
      <c r="L67" s="887">
        <f t="shared" si="37"/>
        <v>1320000000</v>
      </c>
      <c r="M67" s="887">
        <f t="shared" si="38"/>
        <v>2640000000</v>
      </c>
      <c r="N67" s="887">
        <f t="shared" si="39"/>
        <v>2640000000</v>
      </c>
      <c r="O67" s="154">
        <f t="shared" si="40"/>
        <v>0</v>
      </c>
      <c r="P67" s="118"/>
      <c r="Q67" s="154">
        <f t="shared" si="3"/>
        <v>6600000000</v>
      </c>
      <c r="R67" s="522"/>
      <c r="S67" s="118"/>
      <c r="T67" s="731">
        <f t="shared" si="10"/>
        <v>0</v>
      </c>
      <c r="U67" s="155"/>
    </row>
    <row r="68" spans="2:22" s="163" customFormat="1" hidden="1" x14ac:dyDescent="0.25">
      <c r="B68" s="59"/>
      <c r="C68" s="119"/>
      <c r="D68" s="156"/>
      <c r="E68" s="157"/>
      <c r="F68" s="158" t="s">
        <v>46</v>
      </c>
      <c r="G68" s="159" t="s">
        <v>99</v>
      </c>
      <c r="H68" s="160"/>
      <c r="I68" s="161"/>
      <c r="J68" s="633">
        <v>1100000000</v>
      </c>
      <c r="K68" s="633">
        <v>1100000000</v>
      </c>
      <c r="L68" s="888">
        <f t="shared" si="37"/>
        <v>220000000</v>
      </c>
      <c r="M68" s="888">
        <f t="shared" si="38"/>
        <v>440000000</v>
      </c>
      <c r="N68" s="888">
        <f t="shared" si="39"/>
        <v>440000000</v>
      </c>
      <c r="O68" s="162">
        <f t="shared" si="40"/>
        <v>0</v>
      </c>
      <c r="P68" s="126"/>
      <c r="Q68" s="162">
        <f t="shared" si="3"/>
        <v>1100000000</v>
      </c>
      <c r="R68" s="523"/>
      <c r="S68" s="126"/>
      <c r="T68" s="926">
        <f t="shared" si="10"/>
        <v>0</v>
      </c>
    </row>
    <row r="69" spans="2:22" s="163" customFormat="1" hidden="1" x14ac:dyDescent="0.25">
      <c r="B69" s="59"/>
      <c r="C69" s="119"/>
      <c r="D69" s="156"/>
      <c r="E69" s="157"/>
      <c r="F69" s="158" t="s">
        <v>46</v>
      </c>
      <c r="G69" s="159" t="s">
        <v>100</v>
      </c>
      <c r="H69" s="160"/>
      <c r="I69" s="161"/>
      <c r="J69" s="633">
        <v>1100000000</v>
      </c>
      <c r="K69" s="633">
        <v>1100000000</v>
      </c>
      <c r="L69" s="888">
        <f t="shared" si="37"/>
        <v>220000000</v>
      </c>
      <c r="M69" s="888">
        <f t="shared" si="38"/>
        <v>440000000</v>
      </c>
      <c r="N69" s="888">
        <f t="shared" si="39"/>
        <v>440000000</v>
      </c>
      <c r="O69" s="162">
        <f t="shared" si="40"/>
        <v>0</v>
      </c>
      <c r="P69" s="126"/>
      <c r="Q69" s="162">
        <f t="shared" si="3"/>
        <v>1100000000</v>
      </c>
      <c r="R69" s="523"/>
      <c r="S69" s="126"/>
      <c r="T69" s="926">
        <f t="shared" si="10"/>
        <v>0</v>
      </c>
      <c r="U69" s="164"/>
    </row>
    <row r="70" spans="2:22" s="163" customFormat="1" hidden="1" x14ac:dyDescent="0.25">
      <c r="B70" s="59"/>
      <c r="C70" s="119"/>
      <c r="D70" s="156"/>
      <c r="E70" s="157"/>
      <c r="F70" s="158" t="s">
        <v>46</v>
      </c>
      <c r="G70" s="159" t="s">
        <v>101</v>
      </c>
      <c r="H70" s="160"/>
      <c r="I70" s="161"/>
      <c r="J70" s="633">
        <v>1100000000</v>
      </c>
      <c r="K70" s="633">
        <v>1100000000</v>
      </c>
      <c r="L70" s="888">
        <f t="shared" si="37"/>
        <v>220000000</v>
      </c>
      <c r="M70" s="888">
        <f t="shared" si="38"/>
        <v>440000000</v>
      </c>
      <c r="N70" s="888">
        <f t="shared" si="39"/>
        <v>440000000</v>
      </c>
      <c r="O70" s="162">
        <f t="shared" si="40"/>
        <v>0</v>
      </c>
      <c r="P70" s="126"/>
      <c r="Q70" s="162">
        <f t="shared" si="3"/>
        <v>1100000000</v>
      </c>
      <c r="R70" s="523"/>
      <c r="S70" s="126"/>
      <c r="T70" s="926">
        <f t="shared" si="10"/>
        <v>0</v>
      </c>
    </row>
    <row r="71" spans="2:22" s="163" customFormat="1" hidden="1" x14ac:dyDescent="0.25">
      <c r="B71" s="59"/>
      <c r="C71" s="119"/>
      <c r="D71" s="156"/>
      <c r="E71" s="157"/>
      <c r="F71" s="158" t="s">
        <v>46</v>
      </c>
      <c r="G71" s="159" t="s">
        <v>102</v>
      </c>
      <c r="H71" s="160"/>
      <c r="I71" s="161"/>
      <c r="J71" s="633">
        <v>1100000000</v>
      </c>
      <c r="K71" s="633">
        <v>1100000000</v>
      </c>
      <c r="L71" s="888">
        <f t="shared" si="37"/>
        <v>220000000</v>
      </c>
      <c r="M71" s="888">
        <f t="shared" si="38"/>
        <v>440000000</v>
      </c>
      <c r="N71" s="888">
        <f t="shared" si="39"/>
        <v>440000000</v>
      </c>
      <c r="O71" s="162">
        <f t="shared" si="40"/>
        <v>0</v>
      </c>
      <c r="P71" s="126"/>
      <c r="Q71" s="162">
        <f t="shared" si="3"/>
        <v>1100000000</v>
      </c>
      <c r="R71" s="523"/>
      <c r="S71" s="126"/>
      <c r="T71" s="926">
        <f t="shared" si="10"/>
        <v>0</v>
      </c>
    </row>
    <row r="72" spans="2:22" s="163" customFormat="1" hidden="1" x14ac:dyDescent="0.25">
      <c r="B72" s="59"/>
      <c r="C72" s="119"/>
      <c r="D72" s="156"/>
      <c r="E72" s="157"/>
      <c r="F72" s="158" t="s">
        <v>46</v>
      </c>
      <c r="G72" s="159" t="s">
        <v>103</v>
      </c>
      <c r="H72" s="160"/>
      <c r="I72" s="161"/>
      <c r="J72" s="633">
        <v>1100000000</v>
      </c>
      <c r="K72" s="633">
        <v>1100000000</v>
      </c>
      <c r="L72" s="888">
        <f t="shared" si="37"/>
        <v>220000000</v>
      </c>
      <c r="M72" s="888">
        <f t="shared" si="38"/>
        <v>440000000</v>
      </c>
      <c r="N72" s="888">
        <f t="shared" si="39"/>
        <v>440000000</v>
      </c>
      <c r="O72" s="162">
        <f t="shared" si="40"/>
        <v>0</v>
      </c>
      <c r="P72" s="126"/>
      <c r="Q72" s="162">
        <f t="shared" si="3"/>
        <v>1100000000</v>
      </c>
      <c r="R72" s="523"/>
      <c r="S72" s="126"/>
      <c r="T72" s="926">
        <f t="shared" si="10"/>
        <v>0</v>
      </c>
    </row>
    <row r="73" spans="2:22" s="163" customFormat="1" hidden="1" x14ac:dyDescent="0.25">
      <c r="B73" s="59"/>
      <c r="C73" s="119"/>
      <c r="D73" s="156"/>
      <c r="E73" s="157"/>
      <c r="F73" s="158" t="s">
        <v>46</v>
      </c>
      <c r="G73" s="159" t="s">
        <v>104</v>
      </c>
      <c r="H73" s="160"/>
      <c r="I73" s="161"/>
      <c r="J73" s="633">
        <v>1100000000</v>
      </c>
      <c r="K73" s="633">
        <v>1100000000</v>
      </c>
      <c r="L73" s="888">
        <f t="shared" si="37"/>
        <v>220000000</v>
      </c>
      <c r="M73" s="888">
        <f t="shared" si="38"/>
        <v>440000000</v>
      </c>
      <c r="N73" s="888">
        <f t="shared" si="39"/>
        <v>440000000</v>
      </c>
      <c r="O73" s="162">
        <f t="shared" si="40"/>
        <v>0</v>
      </c>
      <c r="P73" s="126"/>
      <c r="Q73" s="162">
        <f t="shared" si="3"/>
        <v>1100000000</v>
      </c>
      <c r="R73" s="523"/>
      <c r="S73" s="126"/>
      <c r="T73" s="926">
        <f t="shared" si="10"/>
        <v>0</v>
      </c>
    </row>
    <row r="74" spans="2:22" s="113" customFormat="1" ht="19.5" customHeight="1" x14ac:dyDescent="0.25">
      <c r="B74" s="59"/>
      <c r="C74" s="39"/>
      <c r="D74" s="109"/>
      <c r="E74" s="88" t="s">
        <v>210</v>
      </c>
      <c r="F74" s="1577" t="s">
        <v>105</v>
      </c>
      <c r="G74" s="1578"/>
      <c r="H74" s="165" t="s">
        <v>106</v>
      </c>
      <c r="I74" s="166">
        <v>1</v>
      </c>
      <c r="J74" s="634">
        <v>0</v>
      </c>
      <c r="K74" s="634">
        <v>0</v>
      </c>
      <c r="L74" s="889">
        <f t="shared" si="37"/>
        <v>0</v>
      </c>
      <c r="M74" s="889">
        <f t="shared" si="38"/>
        <v>0</v>
      </c>
      <c r="N74" s="889">
        <f t="shared" si="39"/>
        <v>0</v>
      </c>
      <c r="O74" s="167">
        <f t="shared" si="40"/>
        <v>0</v>
      </c>
      <c r="P74" s="168"/>
      <c r="Q74" s="167">
        <f t="shared" si="3"/>
        <v>0</v>
      </c>
      <c r="R74" s="524"/>
      <c r="S74" s="168"/>
      <c r="T74" s="926">
        <f t="shared" si="10"/>
        <v>0</v>
      </c>
    </row>
    <row r="75" spans="2:22" s="113" customFormat="1" ht="15.75" hidden="1" customHeight="1" x14ac:dyDescent="0.25">
      <c r="B75" s="59"/>
      <c r="C75" s="119"/>
      <c r="D75" s="156"/>
      <c r="E75" s="157"/>
      <c r="F75" s="169" t="s">
        <v>46</v>
      </c>
      <c r="G75" s="170" t="s">
        <v>108</v>
      </c>
      <c r="H75" s="171"/>
      <c r="I75" s="116" t="s">
        <v>109</v>
      </c>
      <c r="J75" s="627">
        <v>17500000000</v>
      </c>
      <c r="K75" s="627">
        <v>17500000000</v>
      </c>
      <c r="L75" s="882">
        <f t="shared" si="37"/>
        <v>3500000000</v>
      </c>
      <c r="M75" s="882">
        <f t="shared" si="38"/>
        <v>7000000000</v>
      </c>
      <c r="N75" s="882">
        <f t="shared" si="39"/>
        <v>7000000000</v>
      </c>
      <c r="O75" s="125">
        <f t="shared" si="40"/>
        <v>0</v>
      </c>
      <c r="P75" s="126"/>
      <c r="Q75" s="125">
        <f t="shared" si="3"/>
        <v>17500000000</v>
      </c>
      <c r="R75" s="517"/>
      <c r="S75" s="126"/>
      <c r="T75" s="926">
        <f t="shared" si="10"/>
        <v>0</v>
      </c>
    </row>
    <row r="76" spans="2:22" s="113" customFormat="1" ht="15.75" hidden="1" customHeight="1" x14ac:dyDescent="0.25">
      <c r="B76" s="59"/>
      <c r="C76" s="119"/>
      <c r="D76" s="156"/>
      <c r="E76" s="157"/>
      <c r="F76" s="169" t="s">
        <v>46</v>
      </c>
      <c r="G76" s="170" t="s">
        <v>110</v>
      </c>
      <c r="H76" s="171"/>
      <c r="I76" s="116" t="s">
        <v>111</v>
      </c>
      <c r="J76" s="627">
        <v>7500000000</v>
      </c>
      <c r="K76" s="627">
        <v>7500000000</v>
      </c>
      <c r="L76" s="882">
        <f t="shared" si="37"/>
        <v>1500000000</v>
      </c>
      <c r="M76" s="882">
        <f t="shared" si="38"/>
        <v>3000000000</v>
      </c>
      <c r="N76" s="882">
        <f t="shared" si="39"/>
        <v>3000000000</v>
      </c>
      <c r="O76" s="125">
        <f t="shared" si="40"/>
        <v>0</v>
      </c>
      <c r="P76" s="126"/>
      <c r="Q76" s="125">
        <f t="shared" ref="Q76:Q139" si="41">L76+M76+O76+N76</f>
        <v>7500000000</v>
      </c>
      <c r="R76" s="517"/>
      <c r="S76" s="126"/>
      <c r="T76" s="926">
        <f t="shared" si="10"/>
        <v>0</v>
      </c>
    </row>
    <row r="77" spans="2:22" s="113" customFormat="1" ht="15.75" hidden="1" customHeight="1" x14ac:dyDescent="0.25">
      <c r="B77" s="59"/>
      <c r="C77" s="119"/>
      <c r="D77" s="156"/>
      <c r="E77" s="157"/>
      <c r="F77" s="169" t="s">
        <v>46</v>
      </c>
      <c r="G77" s="170" t="s">
        <v>112</v>
      </c>
      <c r="H77" s="171"/>
      <c r="I77" s="116" t="s">
        <v>113</v>
      </c>
      <c r="J77" s="627">
        <v>15400000000</v>
      </c>
      <c r="K77" s="627">
        <v>15400000000</v>
      </c>
      <c r="L77" s="882">
        <f t="shared" si="37"/>
        <v>3080000000</v>
      </c>
      <c r="M77" s="882">
        <f t="shared" si="38"/>
        <v>6160000000</v>
      </c>
      <c r="N77" s="882">
        <f t="shared" si="39"/>
        <v>6160000000</v>
      </c>
      <c r="O77" s="125">
        <f t="shared" si="40"/>
        <v>0</v>
      </c>
      <c r="P77" s="126"/>
      <c r="Q77" s="125">
        <f t="shared" si="41"/>
        <v>15400000000</v>
      </c>
      <c r="R77" s="517"/>
      <c r="S77" s="126"/>
      <c r="T77" s="926">
        <f t="shared" si="10"/>
        <v>0</v>
      </c>
    </row>
    <row r="78" spans="2:22" s="113" customFormat="1" ht="15.75" hidden="1" customHeight="1" x14ac:dyDescent="0.25">
      <c r="B78" s="59"/>
      <c r="C78" s="119"/>
      <c r="D78" s="156"/>
      <c r="E78" s="157"/>
      <c r="F78" s="169" t="s">
        <v>46</v>
      </c>
      <c r="G78" s="170" t="s">
        <v>114</v>
      </c>
      <c r="H78" s="171"/>
      <c r="I78" s="116" t="s">
        <v>115</v>
      </c>
      <c r="J78" s="627">
        <v>0</v>
      </c>
      <c r="K78" s="627">
        <v>0</v>
      </c>
      <c r="L78" s="882">
        <f t="shared" si="37"/>
        <v>0</v>
      </c>
      <c r="M78" s="882">
        <f t="shared" si="38"/>
        <v>0</v>
      </c>
      <c r="N78" s="882">
        <f t="shared" si="39"/>
        <v>0</v>
      </c>
      <c r="O78" s="125">
        <f t="shared" si="40"/>
        <v>0</v>
      </c>
      <c r="P78" s="126"/>
      <c r="Q78" s="125">
        <f t="shared" si="41"/>
        <v>0</v>
      </c>
      <c r="R78" s="517"/>
      <c r="S78" s="126"/>
      <c r="T78" s="926">
        <f t="shared" si="10"/>
        <v>0</v>
      </c>
    </row>
    <row r="79" spans="2:22" s="113" customFormat="1" ht="15.75" hidden="1" customHeight="1" x14ac:dyDescent="0.25">
      <c r="B79" s="59"/>
      <c r="C79" s="119"/>
      <c r="D79" s="156"/>
      <c r="E79" s="157"/>
      <c r="F79" s="169" t="s">
        <v>46</v>
      </c>
      <c r="G79" s="170" t="s">
        <v>116</v>
      </c>
      <c r="H79" s="171"/>
      <c r="I79" s="116">
        <v>1</v>
      </c>
      <c r="J79" s="627">
        <v>1000000</v>
      </c>
      <c r="K79" s="627">
        <v>1000000</v>
      </c>
      <c r="L79" s="882">
        <f t="shared" si="37"/>
        <v>200000</v>
      </c>
      <c r="M79" s="882">
        <f t="shared" si="38"/>
        <v>400000</v>
      </c>
      <c r="N79" s="882">
        <f t="shared" si="39"/>
        <v>400000</v>
      </c>
      <c r="O79" s="125">
        <f t="shared" si="40"/>
        <v>0</v>
      </c>
      <c r="P79" s="126"/>
      <c r="Q79" s="125">
        <f t="shared" si="41"/>
        <v>1000000</v>
      </c>
      <c r="R79" s="517"/>
      <c r="S79" s="126"/>
      <c r="T79" s="926">
        <f t="shared" si="10"/>
        <v>0</v>
      </c>
    </row>
    <row r="80" spans="2:22" s="113" customFormat="1" ht="15.75" hidden="1" customHeight="1" x14ac:dyDescent="0.25">
      <c r="B80" s="59"/>
      <c r="C80" s="119"/>
      <c r="D80" s="156"/>
      <c r="E80" s="157"/>
      <c r="F80" s="169" t="s">
        <v>46</v>
      </c>
      <c r="G80" s="170" t="s">
        <v>117</v>
      </c>
      <c r="H80" s="171"/>
      <c r="I80" s="116">
        <v>1</v>
      </c>
      <c r="J80" s="627">
        <v>1000000</v>
      </c>
      <c r="K80" s="627">
        <v>1000000</v>
      </c>
      <c r="L80" s="882">
        <f t="shared" si="37"/>
        <v>200000</v>
      </c>
      <c r="M80" s="882">
        <f t="shared" si="38"/>
        <v>400000</v>
      </c>
      <c r="N80" s="882">
        <f t="shared" si="39"/>
        <v>400000</v>
      </c>
      <c r="O80" s="125">
        <f t="shared" si="40"/>
        <v>0</v>
      </c>
      <c r="P80" s="126"/>
      <c r="Q80" s="125">
        <f t="shared" si="41"/>
        <v>1000000</v>
      </c>
      <c r="R80" s="517"/>
      <c r="S80" s="126"/>
      <c r="T80" s="926">
        <f t="shared" si="10"/>
        <v>0</v>
      </c>
    </row>
    <row r="81" spans="2:22" s="113" customFormat="1" ht="30.75" hidden="1" customHeight="1" x14ac:dyDescent="0.25">
      <c r="B81" s="59"/>
      <c r="C81" s="119"/>
      <c r="D81" s="156"/>
      <c r="E81" s="157"/>
      <c r="F81" s="169" t="s">
        <v>46</v>
      </c>
      <c r="G81" s="170" t="s">
        <v>118</v>
      </c>
      <c r="H81" s="171"/>
      <c r="I81" s="116">
        <v>1</v>
      </c>
      <c r="J81" s="627">
        <v>1000000</v>
      </c>
      <c r="K81" s="627">
        <v>1000000</v>
      </c>
      <c r="L81" s="882">
        <f t="shared" si="37"/>
        <v>200000</v>
      </c>
      <c r="M81" s="882">
        <f t="shared" si="38"/>
        <v>400000</v>
      </c>
      <c r="N81" s="882">
        <f t="shared" si="39"/>
        <v>400000</v>
      </c>
      <c r="O81" s="125">
        <f t="shared" si="40"/>
        <v>0</v>
      </c>
      <c r="P81" s="126"/>
      <c r="Q81" s="125">
        <f t="shared" si="41"/>
        <v>1000000</v>
      </c>
      <c r="R81" s="517"/>
      <c r="S81" s="126"/>
      <c r="T81" s="926">
        <f t="shared" si="10"/>
        <v>0</v>
      </c>
    </row>
    <row r="82" spans="2:22" s="113" customFormat="1" ht="15.75" hidden="1" customHeight="1" x14ac:dyDescent="0.25">
      <c r="B82" s="59"/>
      <c r="C82" s="119"/>
      <c r="D82" s="156"/>
      <c r="E82" s="157"/>
      <c r="F82" s="169" t="s">
        <v>46</v>
      </c>
      <c r="G82" s="170" t="s">
        <v>119</v>
      </c>
      <c r="H82" s="171"/>
      <c r="I82" s="116">
        <v>1</v>
      </c>
      <c r="J82" s="627">
        <v>1000000</v>
      </c>
      <c r="K82" s="627">
        <v>1000000</v>
      </c>
      <c r="L82" s="882">
        <f t="shared" si="37"/>
        <v>200000</v>
      </c>
      <c r="M82" s="882">
        <f t="shared" si="38"/>
        <v>400000</v>
      </c>
      <c r="N82" s="882">
        <f t="shared" si="39"/>
        <v>400000</v>
      </c>
      <c r="O82" s="125">
        <f t="shared" si="40"/>
        <v>0</v>
      </c>
      <c r="P82" s="126"/>
      <c r="Q82" s="125">
        <f t="shared" si="41"/>
        <v>1000000</v>
      </c>
      <c r="R82" s="517"/>
      <c r="S82" s="126"/>
      <c r="T82" s="926">
        <f t="shared" si="10"/>
        <v>0</v>
      </c>
    </row>
    <row r="83" spans="2:22" s="113" customFormat="1" ht="15.75" hidden="1" customHeight="1" x14ac:dyDescent="0.25">
      <c r="B83" s="59"/>
      <c r="C83" s="119"/>
      <c r="D83" s="156"/>
      <c r="E83" s="157"/>
      <c r="F83" s="169" t="s">
        <v>46</v>
      </c>
      <c r="G83" s="170" t="s">
        <v>120</v>
      </c>
      <c r="H83" s="171"/>
      <c r="I83" s="116">
        <v>1</v>
      </c>
      <c r="J83" s="627">
        <v>1000000</v>
      </c>
      <c r="K83" s="627">
        <v>1000000</v>
      </c>
      <c r="L83" s="882">
        <f t="shared" si="37"/>
        <v>200000</v>
      </c>
      <c r="M83" s="882">
        <f t="shared" si="38"/>
        <v>400000</v>
      </c>
      <c r="N83" s="882">
        <f t="shared" si="39"/>
        <v>400000</v>
      </c>
      <c r="O83" s="125">
        <f t="shared" si="40"/>
        <v>0</v>
      </c>
      <c r="P83" s="126"/>
      <c r="Q83" s="125">
        <f t="shared" si="41"/>
        <v>1000000</v>
      </c>
      <c r="R83" s="517"/>
      <c r="S83" s="126"/>
      <c r="T83" s="926">
        <f t="shared" si="10"/>
        <v>0</v>
      </c>
    </row>
    <row r="84" spans="2:22" s="113" customFormat="1" ht="30.75" hidden="1" customHeight="1" x14ac:dyDescent="0.25">
      <c r="B84" s="59"/>
      <c r="C84" s="119"/>
      <c r="D84" s="156"/>
      <c r="E84" s="157"/>
      <c r="F84" s="169" t="s">
        <v>46</v>
      </c>
      <c r="G84" s="170" t="s">
        <v>121</v>
      </c>
      <c r="H84" s="171"/>
      <c r="I84" s="116">
        <v>1</v>
      </c>
      <c r="J84" s="627">
        <v>1000000</v>
      </c>
      <c r="K84" s="627">
        <v>1000000</v>
      </c>
      <c r="L84" s="882">
        <f t="shared" si="37"/>
        <v>200000</v>
      </c>
      <c r="M84" s="882">
        <f t="shared" si="38"/>
        <v>400000</v>
      </c>
      <c r="N84" s="882">
        <f t="shared" si="39"/>
        <v>400000</v>
      </c>
      <c r="O84" s="125">
        <f t="shared" si="40"/>
        <v>0</v>
      </c>
      <c r="P84" s="126"/>
      <c r="Q84" s="125">
        <f t="shared" si="41"/>
        <v>1000000</v>
      </c>
      <c r="R84" s="517"/>
      <c r="S84" s="126"/>
      <c r="T84" s="926">
        <f t="shared" si="10"/>
        <v>0</v>
      </c>
    </row>
    <row r="85" spans="2:22" s="113" customFormat="1" ht="30.75" hidden="1" customHeight="1" x14ac:dyDescent="0.25">
      <c r="B85" s="59"/>
      <c r="C85" s="119"/>
      <c r="D85" s="156"/>
      <c r="E85" s="157"/>
      <c r="F85" s="169" t="s">
        <v>46</v>
      </c>
      <c r="G85" s="170" t="s">
        <v>122</v>
      </c>
      <c r="H85" s="171"/>
      <c r="I85" s="116">
        <v>1</v>
      </c>
      <c r="J85" s="627">
        <v>1000000</v>
      </c>
      <c r="K85" s="627">
        <v>1000000</v>
      </c>
      <c r="L85" s="882">
        <f t="shared" si="37"/>
        <v>200000</v>
      </c>
      <c r="M85" s="882">
        <f t="shared" si="38"/>
        <v>400000</v>
      </c>
      <c r="N85" s="882">
        <f t="shared" si="39"/>
        <v>400000</v>
      </c>
      <c r="O85" s="125">
        <f t="shared" si="40"/>
        <v>0</v>
      </c>
      <c r="P85" s="126"/>
      <c r="Q85" s="125">
        <f t="shared" si="41"/>
        <v>1000000</v>
      </c>
      <c r="R85" s="517"/>
      <c r="S85" s="126"/>
      <c r="T85" s="926">
        <f t="shared" si="10"/>
        <v>0</v>
      </c>
    </row>
    <row r="86" spans="2:22" s="113" customFormat="1" ht="15.75" hidden="1" customHeight="1" x14ac:dyDescent="0.25">
      <c r="B86" s="59"/>
      <c r="C86" s="119"/>
      <c r="D86" s="156"/>
      <c r="E86" s="157"/>
      <c r="F86" s="169" t="s">
        <v>46</v>
      </c>
      <c r="G86" s="170" t="s">
        <v>123</v>
      </c>
      <c r="H86" s="171"/>
      <c r="I86" s="116">
        <v>2</v>
      </c>
      <c r="J86" s="627">
        <v>1000000</v>
      </c>
      <c r="K86" s="627">
        <v>1000000</v>
      </c>
      <c r="L86" s="882">
        <f t="shared" si="37"/>
        <v>200000</v>
      </c>
      <c r="M86" s="882">
        <f t="shared" si="38"/>
        <v>400000</v>
      </c>
      <c r="N86" s="882">
        <f t="shared" si="39"/>
        <v>400000</v>
      </c>
      <c r="O86" s="125">
        <f t="shared" si="40"/>
        <v>0</v>
      </c>
      <c r="P86" s="126"/>
      <c r="Q86" s="125">
        <f t="shared" si="41"/>
        <v>1000000</v>
      </c>
      <c r="R86" s="517"/>
      <c r="S86" s="126"/>
      <c r="T86" s="926">
        <f t="shared" si="10"/>
        <v>0</v>
      </c>
    </row>
    <row r="87" spans="2:22" s="113" customFormat="1" ht="15.75" hidden="1" customHeight="1" x14ac:dyDescent="0.25">
      <c r="B87" s="59"/>
      <c r="C87" s="119"/>
      <c r="D87" s="156"/>
      <c r="E87" s="157"/>
      <c r="F87" s="169" t="s">
        <v>46</v>
      </c>
      <c r="G87" s="170" t="s">
        <v>124</v>
      </c>
      <c r="H87" s="171"/>
      <c r="I87" s="116">
        <v>1</v>
      </c>
      <c r="J87" s="627">
        <v>1000000</v>
      </c>
      <c r="K87" s="627">
        <v>1000000</v>
      </c>
      <c r="L87" s="882">
        <f t="shared" si="37"/>
        <v>200000</v>
      </c>
      <c r="M87" s="882">
        <f t="shared" si="38"/>
        <v>400000</v>
      </c>
      <c r="N87" s="882">
        <f t="shared" si="39"/>
        <v>400000</v>
      </c>
      <c r="O87" s="125">
        <f t="shared" si="40"/>
        <v>0</v>
      </c>
      <c r="P87" s="126"/>
      <c r="Q87" s="125">
        <f t="shared" si="41"/>
        <v>1000000</v>
      </c>
      <c r="R87" s="517"/>
      <c r="S87" s="126"/>
      <c r="T87" s="926">
        <f t="shared" si="10"/>
        <v>0</v>
      </c>
    </row>
    <row r="88" spans="2:22" s="113" customFormat="1" ht="21.75" hidden="1" customHeight="1" x14ac:dyDescent="0.25">
      <c r="B88" s="59"/>
      <c r="C88" s="39"/>
      <c r="D88" s="109"/>
      <c r="E88" s="88"/>
      <c r="F88" s="1577" t="s">
        <v>125</v>
      </c>
      <c r="G88" s="1578"/>
      <c r="H88" s="172" t="s">
        <v>126</v>
      </c>
      <c r="I88" s="110"/>
      <c r="J88" s="625">
        <v>0</v>
      </c>
      <c r="K88" s="625">
        <v>0</v>
      </c>
      <c r="L88" s="880">
        <f t="shared" si="37"/>
        <v>0</v>
      </c>
      <c r="M88" s="880">
        <f t="shared" si="38"/>
        <v>0</v>
      </c>
      <c r="N88" s="880">
        <f t="shared" si="39"/>
        <v>0</v>
      </c>
      <c r="O88" s="111">
        <f t="shared" si="40"/>
        <v>0</v>
      </c>
      <c r="P88" s="112"/>
      <c r="Q88" s="111">
        <f t="shared" si="41"/>
        <v>0</v>
      </c>
      <c r="R88" s="516"/>
      <c r="S88" s="112"/>
      <c r="T88" s="926">
        <f t="shared" ref="T88:T151" si="42">Q88-K88</f>
        <v>0</v>
      </c>
    </row>
    <row r="89" spans="2:22" s="62" customFormat="1" ht="21" customHeight="1" x14ac:dyDescent="0.25">
      <c r="B89" s="59"/>
      <c r="C89" s="39"/>
      <c r="D89" s="109"/>
      <c r="E89" s="88" t="s">
        <v>439</v>
      </c>
      <c r="F89" s="1577" t="s">
        <v>127</v>
      </c>
      <c r="G89" s="1578"/>
      <c r="H89" s="173" t="s">
        <v>128</v>
      </c>
      <c r="I89" s="134" t="s">
        <v>397</v>
      </c>
      <c r="J89" s="626">
        <f>SUM(J90:J90)</f>
        <v>10000000000</v>
      </c>
      <c r="K89" s="626">
        <f>SUM(K90:K90)</f>
        <v>10000000000</v>
      </c>
      <c r="L89" s="881">
        <f t="shared" si="37"/>
        <v>2000000000</v>
      </c>
      <c r="M89" s="881">
        <f t="shared" si="38"/>
        <v>4000000000</v>
      </c>
      <c r="N89" s="881">
        <f t="shared" si="39"/>
        <v>4000000000</v>
      </c>
      <c r="O89" s="117">
        <f t="shared" si="40"/>
        <v>0</v>
      </c>
      <c r="P89" s="118"/>
      <c r="Q89" s="117">
        <f t="shared" si="41"/>
        <v>10000000000</v>
      </c>
      <c r="R89" s="518"/>
      <c r="S89" s="118"/>
      <c r="T89" s="731">
        <f t="shared" si="42"/>
        <v>0</v>
      </c>
    </row>
    <row r="90" spans="2:22" s="113" customFormat="1" hidden="1" x14ac:dyDescent="0.25">
      <c r="B90" s="59"/>
      <c r="C90" s="127"/>
      <c r="D90" s="128"/>
      <c r="E90" s="115"/>
      <c r="F90" s="174" t="s">
        <v>46</v>
      </c>
      <c r="G90" s="175" t="s">
        <v>129</v>
      </c>
      <c r="H90" s="602"/>
      <c r="I90" s="176" t="s">
        <v>393</v>
      </c>
      <c r="J90" s="635">
        <v>10000000000</v>
      </c>
      <c r="K90" s="635">
        <v>10000000000</v>
      </c>
      <c r="L90" s="890">
        <f t="shared" si="37"/>
        <v>2000000000</v>
      </c>
      <c r="M90" s="890">
        <f t="shared" si="38"/>
        <v>4000000000</v>
      </c>
      <c r="N90" s="890">
        <f t="shared" si="39"/>
        <v>4000000000</v>
      </c>
      <c r="O90" s="177">
        <f t="shared" si="40"/>
        <v>0</v>
      </c>
      <c r="P90" s="178"/>
      <c r="Q90" s="177">
        <f t="shared" si="41"/>
        <v>10000000000</v>
      </c>
      <c r="R90" s="525"/>
      <c r="S90" s="178"/>
      <c r="T90" s="926">
        <f t="shared" si="42"/>
        <v>0</v>
      </c>
    </row>
    <row r="91" spans="2:22" s="62" customFormat="1" ht="19.5" customHeight="1" x14ac:dyDescent="0.25">
      <c r="B91" s="59"/>
      <c r="C91" s="39"/>
      <c r="D91" s="109"/>
      <c r="E91" s="88" t="s">
        <v>440</v>
      </c>
      <c r="F91" s="1577" t="s">
        <v>130</v>
      </c>
      <c r="G91" s="1578"/>
      <c r="H91" s="165" t="s">
        <v>131</v>
      </c>
      <c r="I91" s="134" t="s">
        <v>398</v>
      </c>
      <c r="J91" s="626">
        <f>SUM(J92:J93)</f>
        <v>12000000000</v>
      </c>
      <c r="K91" s="626">
        <f>SUM(K92:K93)</f>
        <v>12000000000</v>
      </c>
      <c r="L91" s="881">
        <f t="shared" si="37"/>
        <v>2400000000</v>
      </c>
      <c r="M91" s="881">
        <f t="shared" si="38"/>
        <v>4800000000</v>
      </c>
      <c r="N91" s="881">
        <f t="shared" si="39"/>
        <v>4800000000</v>
      </c>
      <c r="O91" s="117">
        <f t="shared" si="40"/>
        <v>0</v>
      </c>
      <c r="P91" s="118"/>
      <c r="Q91" s="117">
        <f t="shared" si="41"/>
        <v>12000000000</v>
      </c>
      <c r="R91" s="518"/>
      <c r="S91" s="118"/>
      <c r="T91" s="731">
        <f t="shared" si="42"/>
        <v>0</v>
      </c>
    </row>
    <row r="92" spans="2:22" s="113" customFormat="1" hidden="1" x14ac:dyDescent="0.25">
      <c r="B92" s="59"/>
      <c r="C92" s="127"/>
      <c r="D92" s="128"/>
      <c r="E92" s="115"/>
      <c r="F92" s="130" t="s">
        <v>46</v>
      </c>
      <c r="G92" s="180" t="s">
        <v>132</v>
      </c>
      <c r="H92" s="602"/>
      <c r="I92" s="176" t="s">
        <v>133</v>
      </c>
      <c r="J92" s="635">
        <f>4200000000+1800000000</f>
        <v>6000000000</v>
      </c>
      <c r="K92" s="635">
        <v>6000000000</v>
      </c>
      <c r="L92" s="890">
        <f t="shared" si="37"/>
        <v>1200000000</v>
      </c>
      <c r="M92" s="890">
        <f t="shared" si="38"/>
        <v>2400000000</v>
      </c>
      <c r="N92" s="890">
        <f t="shared" si="39"/>
        <v>2400000000</v>
      </c>
      <c r="O92" s="177">
        <f t="shared" si="40"/>
        <v>0</v>
      </c>
      <c r="P92" s="178"/>
      <c r="Q92" s="177">
        <f t="shared" si="41"/>
        <v>6000000000</v>
      </c>
      <c r="R92" s="525"/>
      <c r="S92" s="178"/>
      <c r="T92" s="926">
        <f t="shared" si="42"/>
        <v>0</v>
      </c>
      <c r="V92" s="181"/>
    </row>
    <row r="93" spans="2:22" s="113" customFormat="1" hidden="1" x14ac:dyDescent="0.25">
      <c r="B93" s="59"/>
      <c r="C93" s="127"/>
      <c r="D93" s="128"/>
      <c r="E93" s="115"/>
      <c r="F93" s="130" t="s">
        <v>46</v>
      </c>
      <c r="G93" s="180" t="s">
        <v>135</v>
      </c>
      <c r="H93" s="602"/>
      <c r="I93" s="176" t="s">
        <v>133</v>
      </c>
      <c r="J93" s="635">
        <v>6000000000</v>
      </c>
      <c r="K93" s="635">
        <v>6000000000</v>
      </c>
      <c r="L93" s="890">
        <f t="shared" si="37"/>
        <v>1200000000</v>
      </c>
      <c r="M93" s="890">
        <f t="shared" si="38"/>
        <v>2400000000</v>
      </c>
      <c r="N93" s="890">
        <f t="shared" si="39"/>
        <v>2400000000</v>
      </c>
      <c r="O93" s="177">
        <f t="shared" si="40"/>
        <v>0</v>
      </c>
      <c r="P93" s="178"/>
      <c r="Q93" s="177">
        <f t="shared" si="41"/>
        <v>6000000000</v>
      </c>
      <c r="R93" s="585"/>
      <c r="S93" s="178"/>
      <c r="T93" s="926">
        <f t="shared" si="42"/>
        <v>0</v>
      </c>
    </row>
    <row r="94" spans="2:22" s="62" customFormat="1" ht="28.5" customHeight="1" x14ac:dyDescent="0.25">
      <c r="B94" s="59"/>
      <c r="C94" s="39"/>
      <c r="D94" s="140"/>
      <c r="E94" s="749" t="s">
        <v>441</v>
      </c>
      <c r="F94" s="1582" t="s">
        <v>136</v>
      </c>
      <c r="G94" s="1583"/>
      <c r="H94" s="469" t="s">
        <v>137</v>
      </c>
      <c r="I94" s="200" t="s">
        <v>404</v>
      </c>
      <c r="J94" s="626">
        <f>SUM(J95:J97)</f>
        <v>26300000000</v>
      </c>
      <c r="K94" s="626">
        <f>SUM(K95:K97)</f>
        <v>28000000000</v>
      </c>
      <c r="L94" s="881">
        <f t="shared" si="37"/>
        <v>5600000000</v>
      </c>
      <c r="M94" s="881">
        <f t="shared" si="38"/>
        <v>11200000000</v>
      </c>
      <c r="N94" s="881">
        <f t="shared" si="39"/>
        <v>11200000000</v>
      </c>
      <c r="O94" s="117">
        <f t="shared" si="40"/>
        <v>0</v>
      </c>
      <c r="P94" s="118"/>
      <c r="Q94" s="117">
        <f t="shared" si="41"/>
        <v>28000000000</v>
      </c>
      <c r="R94" s="586"/>
      <c r="S94" s="118"/>
      <c r="T94" s="731">
        <f t="shared" si="42"/>
        <v>0</v>
      </c>
    </row>
    <row r="95" spans="2:22" s="113" customFormat="1" hidden="1" x14ac:dyDescent="0.25">
      <c r="B95" s="59"/>
      <c r="C95" s="127"/>
      <c r="D95" s="128"/>
      <c r="E95" s="750"/>
      <c r="F95" s="751" t="s">
        <v>46</v>
      </c>
      <c r="G95" s="201" t="s">
        <v>138</v>
      </c>
      <c r="H95" s="601"/>
      <c r="I95" s="176" t="s">
        <v>109</v>
      </c>
      <c r="J95" s="635">
        <f>12500000000+500000000</f>
        <v>13000000000</v>
      </c>
      <c r="K95" s="635">
        <v>13000000000</v>
      </c>
      <c r="L95" s="890">
        <f t="shared" si="37"/>
        <v>2600000000</v>
      </c>
      <c r="M95" s="890">
        <f t="shared" si="38"/>
        <v>5200000000</v>
      </c>
      <c r="N95" s="890">
        <f t="shared" si="39"/>
        <v>5200000000</v>
      </c>
      <c r="O95" s="177">
        <f t="shared" si="40"/>
        <v>0</v>
      </c>
      <c r="P95" s="178"/>
      <c r="Q95" s="177">
        <f t="shared" si="41"/>
        <v>13000000000</v>
      </c>
      <c r="R95" s="585"/>
      <c r="S95" s="178"/>
      <c r="T95" s="926">
        <f t="shared" si="42"/>
        <v>0</v>
      </c>
    </row>
    <row r="96" spans="2:22" s="113" customFormat="1" ht="12.75" hidden="1" customHeight="1" x14ac:dyDescent="0.25">
      <c r="B96" s="59"/>
      <c r="C96" s="127"/>
      <c r="D96" s="128"/>
      <c r="E96" s="750"/>
      <c r="F96" s="751" t="s">
        <v>46</v>
      </c>
      <c r="G96" s="201" t="s">
        <v>139</v>
      </c>
      <c r="H96" s="752"/>
      <c r="I96" s="176" t="s">
        <v>159</v>
      </c>
      <c r="J96" s="635">
        <v>5800000000</v>
      </c>
      <c r="K96" s="635">
        <f>5800000000+1700000000</f>
        <v>7500000000</v>
      </c>
      <c r="L96" s="890">
        <f t="shared" si="37"/>
        <v>1500000000</v>
      </c>
      <c r="M96" s="890">
        <f t="shared" si="38"/>
        <v>3000000000</v>
      </c>
      <c r="N96" s="890">
        <f t="shared" si="39"/>
        <v>3000000000</v>
      </c>
      <c r="O96" s="177">
        <f t="shared" si="40"/>
        <v>0</v>
      </c>
      <c r="P96" s="178"/>
      <c r="Q96" s="177">
        <f t="shared" si="41"/>
        <v>7500000000</v>
      </c>
      <c r="R96" s="585"/>
      <c r="S96" s="178"/>
      <c r="T96" s="926">
        <f t="shared" si="42"/>
        <v>0</v>
      </c>
    </row>
    <row r="97" spans="2:20" s="113" customFormat="1" ht="15" hidden="1" customHeight="1" x14ac:dyDescent="0.25">
      <c r="B97" s="59"/>
      <c r="C97" s="127"/>
      <c r="D97" s="128"/>
      <c r="E97" s="750"/>
      <c r="F97" s="751" t="s">
        <v>46</v>
      </c>
      <c r="G97" s="201" t="s">
        <v>140</v>
      </c>
      <c r="H97" s="601"/>
      <c r="I97" s="176" t="s">
        <v>111</v>
      </c>
      <c r="J97" s="635">
        <v>7500000000</v>
      </c>
      <c r="K97" s="635">
        <v>7500000000</v>
      </c>
      <c r="L97" s="890">
        <f t="shared" si="37"/>
        <v>1500000000</v>
      </c>
      <c r="M97" s="890">
        <f t="shared" si="38"/>
        <v>3000000000</v>
      </c>
      <c r="N97" s="890">
        <f t="shared" si="39"/>
        <v>3000000000</v>
      </c>
      <c r="O97" s="177">
        <f t="shared" si="40"/>
        <v>0</v>
      </c>
      <c r="P97" s="178"/>
      <c r="Q97" s="177">
        <f t="shared" si="41"/>
        <v>7500000000</v>
      </c>
      <c r="R97" s="585"/>
      <c r="S97" s="178"/>
      <c r="T97" s="926">
        <f t="shared" si="42"/>
        <v>0</v>
      </c>
    </row>
    <row r="98" spans="2:20" s="113" customFormat="1" ht="31.5" customHeight="1" x14ac:dyDescent="0.25">
      <c r="B98" s="59"/>
      <c r="C98" s="39"/>
      <c r="D98" s="140"/>
      <c r="E98" s="749" t="s">
        <v>442</v>
      </c>
      <c r="F98" s="1582" t="s">
        <v>145</v>
      </c>
      <c r="G98" s="1583"/>
      <c r="H98" s="676" t="s">
        <v>146</v>
      </c>
      <c r="I98" s="200" t="s">
        <v>113</v>
      </c>
      <c r="J98" s="625">
        <f>SUM(J99:J105)</f>
        <v>21200000000</v>
      </c>
      <c r="K98" s="625">
        <f>SUM(K99:K103)</f>
        <v>22200000000</v>
      </c>
      <c r="L98" s="880">
        <f t="shared" si="37"/>
        <v>4440000000</v>
      </c>
      <c r="M98" s="880">
        <f t="shared" si="38"/>
        <v>8880000000</v>
      </c>
      <c r="N98" s="880">
        <f t="shared" si="39"/>
        <v>8880000000</v>
      </c>
      <c r="O98" s="111">
        <f t="shared" si="40"/>
        <v>0</v>
      </c>
      <c r="P98" s="112"/>
      <c r="Q98" s="111">
        <f t="shared" si="41"/>
        <v>22200000000</v>
      </c>
      <c r="R98" s="585"/>
      <c r="S98" s="112"/>
      <c r="T98" s="926">
        <f t="shared" si="42"/>
        <v>0</v>
      </c>
    </row>
    <row r="99" spans="2:20" s="113" customFormat="1" ht="15.75" hidden="1" customHeight="1" x14ac:dyDescent="0.25">
      <c r="B99" s="59"/>
      <c r="C99" s="127"/>
      <c r="D99" s="128"/>
      <c r="E99" s="750"/>
      <c r="F99" s="751" t="s">
        <v>46</v>
      </c>
      <c r="G99" s="175" t="s">
        <v>147</v>
      </c>
      <c r="H99" s="601"/>
      <c r="I99" s="176" t="s">
        <v>111</v>
      </c>
      <c r="J99" s="635">
        <v>5000000000</v>
      </c>
      <c r="K99" s="635">
        <v>5000000000</v>
      </c>
      <c r="L99" s="890">
        <f t="shared" si="37"/>
        <v>1000000000</v>
      </c>
      <c r="M99" s="890">
        <f t="shared" si="38"/>
        <v>2000000000</v>
      </c>
      <c r="N99" s="890">
        <f t="shared" si="39"/>
        <v>2000000000</v>
      </c>
      <c r="O99" s="177">
        <f t="shared" si="40"/>
        <v>0</v>
      </c>
      <c r="P99" s="178"/>
      <c r="Q99" s="177">
        <f t="shared" si="41"/>
        <v>5000000000</v>
      </c>
      <c r="R99" s="585"/>
      <c r="S99" s="178"/>
      <c r="T99" s="926">
        <f t="shared" si="42"/>
        <v>0</v>
      </c>
    </row>
    <row r="100" spans="2:20" s="113" customFormat="1" ht="15.75" hidden="1" customHeight="1" x14ac:dyDescent="0.25">
      <c r="B100" s="59"/>
      <c r="C100" s="127"/>
      <c r="D100" s="128"/>
      <c r="E100" s="750"/>
      <c r="F100" s="751" t="s">
        <v>46</v>
      </c>
      <c r="G100" s="175" t="s">
        <v>149</v>
      </c>
      <c r="H100" s="601"/>
      <c r="I100" s="176" t="s">
        <v>142</v>
      </c>
      <c r="J100" s="635">
        <v>6000000000</v>
      </c>
      <c r="K100" s="635">
        <v>6000000000</v>
      </c>
      <c r="L100" s="890">
        <f t="shared" si="37"/>
        <v>1200000000</v>
      </c>
      <c r="M100" s="890">
        <f t="shared" si="38"/>
        <v>2400000000</v>
      </c>
      <c r="N100" s="890">
        <f t="shared" si="39"/>
        <v>2400000000</v>
      </c>
      <c r="O100" s="177">
        <f t="shared" si="40"/>
        <v>0</v>
      </c>
      <c r="P100" s="178"/>
      <c r="Q100" s="177">
        <f t="shared" si="41"/>
        <v>6000000000</v>
      </c>
      <c r="R100" s="585"/>
      <c r="S100" s="178"/>
      <c r="T100" s="926">
        <f t="shared" si="42"/>
        <v>0</v>
      </c>
    </row>
    <row r="101" spans="2:20" s="113" customFormat="1" hidden="1" x14ac:dyDescent="0.25">
      <c r="B101" s="59"/>
      <c r="C101" s="127"/>
      <c r="D101" s="128"/>
      <c r="E101" s="750"/>
      <c r="F101" s="753" t="s">
        <v>46</v>
      </c>
      <c r="G101" s="175" t="s">
        <v>150</v>
      </c>
      <c r="H101" s="601"/>
      <c r="I101" s="176" t="s">
        <v>399</v>
      </c>
      <c r="J101" s="635">
        <f>3000000000+3000000000</f>
        <v>6000000000</v>
      </c>
      <c r="K101" s="635">
        <v>6000000000</v>
      </c>
      <c r="L101" s="890">
        <f t="shared" si="37"/>
        <v>1200000000</v>
      </c>
      <c r="M101" s="890">
        <f t="shared" si="38"/>
        <v>2400000000</v>
      </c>
      <c r="N101" s="890">
        <f t="shared" si="39"/>
        <v>2400000000</v>
      </c>
      <c r="O101" s="177">
        <f t="shared" si="40"/>
        <v>0</v>
      </c>
      <c r="P101" s="178"/>
      <c r="Q101" s="177">
        <f t="shared" si="41"/>
        <v>6000000000</v>
      </c>
      <c r="R101" s="585"/>
      <c r="S101" s="178"/>
      <c r="T101" s="926">
        <f t="shared" si="42"/>
        <v>0</v>
      </c>
    </row>
    <row r="102" spans="2:20" s="113" customFormat="1" ht="15.75" hidden="1" customHeight="1" x14ac:dyDescent="0.25">
      <c r="B102" s="703"/>
      <c r="C102" s="127"/>
      <c r="D102" s="128"/>
      <c r="E102" s="754"/>
      <c r="F102" s="755" t="s">
        <v>46</v>
      </c>
      <c r="G102" s="175" t="s">
        <v>394</v>
      </c>
      <c r="H102" s="601"/>
      <c r="I102" s="176" t="s">
        <v>174</v>
      </c>
      <c r="J102" s="635">
        <v>0</v>
      </c>
      <c r="K102" s="635">
        <f>500000000+1000000000</f>
        <v>1500000000</v>
      </c>
      <c r="L102" s="890">
        <f t="shared" si="37"/>
        <v>300000000</v>
      </c>
      <c r="M102" s="890">
        <f t="shared" si="38"/>
        <v>600000000</v>
      </c>
      <c r="N102" s="890">
        <f t="shared" si="39"/>
        <v>600000000</v>
      </c>
      <c r="O102" s="177">
        <f t="shared" si="40"/>
        <v>0</v>
      </c>
      <c r="P102" s="178"/>
      <c r="Q102" s="177">
        <f t="shared" si="41"/>
        <v>1500000000</v>
      </c>
      <c r="R102" s="585"/>
      <c r="S102" s="178"/>
      <c r="T102" s="926">
        <f t="shared" si="42"/>
        <v>0</v>
      </c>
    </row>
    <row r="103" spans="2:20" s="113" customFormat="1" ht="15.75" hidden="1" customHeight="1" x14ac:dyDescent="0.25">
      <c r="B103" s="703"/>
      <c r="C103" s="127"/>
      <c r="D103" s="128"/>
      <c r="E103" s="754"/>
      <c r="F103" s="755" t="s">
        <v>46</v>
      </c>
      <c r="G103" s="175" t="s">
        <v>484</v>
      </c>
      <c r="H103" s="601"/>
      <c r="I103" s="176" t="s">
        <v>399</v>
      </c>
      <c r="J103" s="635">
        <v>0</v>
      </c>
      <c r="K103" s="635">
        <f>500000000+3200000000</f>
        <v>3700000000</v>
      </c>
      <c r="L103" s="890">
        <f t="shared" si="37"/>
        <v>740000000</v>
      </c>
      <c r="M103" s="890">
        <f t="shared" si="38"/>
        <v>1480000000</v>
      </c>
      <c r="N103" s="890">
        <f t="shared" si="39"/>
        <v>1480000000</v>
      </c>
      <c r="O103" s="177">
        <f t="shared" si="40"/>
        <v>0</v>
      </c>
      <c r="P103" s="178"/>
      <c r="Q103" s="177">
        <f t="shared" si="41"/>
        <v>3700000000</v>
      </c>
      <c r="R103" s="585"/>
      <c r="S103" s="178"/>
      <c r="T103" s="926">
        <f t="shared" si="42"/>
        <v>0</v>
      </c>
    </row>
    <row r="104" spans="2:20" s="113" customFormat="1" ht="15.75" hidden="1" customHeight="1" x14ac:dyDescent="0.25">
      <c r="B104" s="703"/>
      <c r="C104" s="127"/>
      <c r="D104" s="128"/>
      <c r="E104" s="754"/>
      <c r="F104" s="755" t="s">
        <v>46</v>
      </c>
      <c r="G104" s="175" t="s">
        <v>394</v>
      </c>
      <c r="H104" s="601"/>
      <c r="I104" s="176" t="s">
        <v>174</v>
      </c>
      <c r="J104" s="635">
        <v>1000000000</v>
      </c>
      <c r="K104" s="635">
        <v>0</v>
      </c>
      <c r="L104" s="890">
        <f t="shared" si="37"/>
        <v>0</v>
      </c>
      <c r="M104" s="890">
        <f t="shared" si="38"/>
        <v>0</v>
      </c>
      <c r="N104" s="890">
        <f t="shared" si="39"/>
        <v>0</v>
      </c>
      <c r="O104" s="177">
        <f t="shared" si="40"/>
        <v>0</v>
      </c>
      <c r="P104" s="178"/>
      <c r="Q104" s="177">
        <f t="shared" si="41"/>
        <v>0</v>
      </c>
      <c r="R104" s="585" t="s">
        <v>151</v>
      </c>
      <c r="S104" s="178">
        <v>1000000000</v>
      </c>
      <c r="T104" s="926">
        <f t="shared" si="42"/>
        <v>0</v>
      </c>
    </row>
    <row r="105" spans="2:20" s="113" customFormat="1" ht="15.75" hidden="1" customHeight="1" x14ac:dyDescent="0.25">
      <c r="B105" s="703"/>
      <c r="C105" s="127"/>
      <c r="D105" s="128"/>
      <c r="E105" s="754"/>
      <c r="F105" s="755" t="s">
        <v>46</v>
      </c>
      <c r="G105" s="175" t="s">
        <v>153</v>
      </c>
      <c r="H105" s="601"/>
      <c r="I105" s="176" t="s">
        <v>399</v>
      </c>
      <c r="J105" s="635">
        <v>3200000000</v>
      </c>
      <c r="K105" s="635">
        <v>0</v>
      </c>
      <c r="L105" s="890">
        <f t="shared" si="37"/>
        <v>0</v>
      </c>
      <c r="M105" s="890">
        <f t="shared" si="38"/>
        <v>0</v>
      </c>
      <c r="N105" s="890">
        <f t="shared" si="39"/>
        <v>0</v>
      </c>
      <c r="O105" s="177">
        <f t="shared" si="40"/>
        <v>0</v>
      </c>
      <c r="P105" s="178"/>
      <c r="Q105" s="177">
        <f t="shared" si="41"/>
        <v>0</v>
      </c>
      <c r="R105" s="585" t="s">
        <v>154</v>
      </c>
      <c r="S105" s="178">
        <v>3200000000</v>
      </c>
      <c r="T105" s="926">
        <f t="shared" si="42"/>
        <v>0</v>
      </c>
    </row>
    <row r="106" spans="2:20" s="62" customFormat="1" ht="26.25" customHeight="1" x14ac:dyDescent="0.25">
      <c r="B106" s="59"/>
      <c r="C106" s="39"/>
      <c r="D106" s="140"/>
      <c r="E106" s="749" t="s">
        <v>443</v>
      </c>
      <c r="F106" s="1718" t="s">
        <v>155</v>
      </c>
      <c r="G106" s="1719"/>
      <c r="H106" s="469" t="s">
        <v>156</v>
      </c>
      <c r="I106" s="200" t="s">
        <v>141</v>
      </c>
      <c r="J106" s="626">
        <f>SUM(J107:J108)</f>
        <v>13500000000</v>
      </c>
      <c r="K106" s="626">
        <f>SUM(K107:K108)</f>
        <v>13500000000</v>
      </c>
      <c r="L106" s="881">
        <f t="shared" si="37"/>
        <v>2700000000</v>
      </c>
      <c r="M106" s="881">
        <f t="shared" si="38"/>
        <v>5400000000</v>
      </c>
      <c r="N106" s="881">
        <f t="shared" si="39"/>
        <v>5400000000</v>
      </c>
      <c r="O106" s="117">
        <f t="shared" si="40"/>
        <v>0</v>
      </c>
      <c r="P106" s="118"/>
      <c r="Q106" s="117">
        <f t="shared" si="41"/>
        <v>13500000000</v>
      </c>
      <c r="R106" s="586"/>
      <c r="S106" s="118"/>
      <c r="T106" s="731">
        <f t="shared" si="42"/>
        <v>0</v>
      </c>
    </row>
    <row r="107" spans="2:20" s="113" customFormat="1" ht="13.5" hidden="1" customHeight="1" x14ac:dyDescent="0.25">
      <c r="B107" s="59"/>
      <c r="C107" s="127"/>
      <c r="D107" s="128"/>
      <c r="E107" s="750"/>
      <c r="F107" s="753" t="s">
        <v>46</v>
      </c>
      <c r="G107" s="175" t="s">
        <v>157</v>
      </c>
      <c r="H107" s="601"/>
      <c r="I107" s="176" t="s">
        <v>111</v>
      </c>
      <c r="J107" s="635">
        <v>7500000000</v>
      </c>
      <c r="K107" s="635">
        <v>7500000000</v>
      </c>
      <c r="L107" s="890">
        <f t="shared" si="37"/>
        <v>1500000000</v>
      </c>
      <c r="M107" s="890">
        <f t="shared" si="38"/>
        <v>3000000000</v>
      </c>
      <c r="N107" s="890">
        <f t="shared" si="39"/>
        <v>3000000000</v>
      </c>
      <c r="O107" s="177">
        <f t="shared" si="40"/>
        <v>0</v>
      </c>
      <c r="P107" s="178"/>
      <c r="Q107" s="177">
        <f t="shared" si="41"/>
        <v>7500000000</v>
      </c>
      <c r="R107" s="585"/>
      <c r="S107" s="178"/>
      <c r="T107" s="926">
        <f t="shared" si="42"/>
        <v>0</v>
      </c>
    </row>
    <row r="108" spans="2:20" s="133" customFormat="1" hidden="1" x14ac:dyDescent="0.25">
      <c r="B108" s="59"/>
      <c r="C108" s="194"/>
      <c r="D108" s="195"/>
      <c r="E108" s="937"/>
      <c r="F108" s="751" t="s">
        <v>46</v>
      </c>
      <c r="G108" s="175" t="s">
        <v>158</v>
      </c>
      <c r="H108" s="601"/>
      <c r="I108" s="176" t="s">
        <v>111</v>
      </c>
      <c r="J108" s="635">
        <v>6000000000</v>
      </c>
      <c r="K108" s="635">
        <v>6000000000</v>
      </c>
      <c r="L108" s="890">
        <f t="shared" si="37"/>
        <v>1200000000</v>
      </c>
      <c r="M108" s="890">
        <f t="shared" si="38"/>
        <v>2400000000</v>
      </c>
      <c r="N108" s="890">
        <f t="shared" si="39"/>
        <v>2400000000</v>
      </c>
      <c r="O108" s="177">
        <f t="shared" si="40"/>
        <v>0</v>
      </c>
      <c r="P108" s="199"/>
      <c r="Q108" s="177">
        <f t="shared" si="41"/>
        <v>6000000000</v>
      </c>
      <c r="R108" s="588"/>
      <c r="S108" s="199"/>
      <c r="T108" s="927">
        <f t="shared" si="42"/>
        <v>0</v>
      </c>
    </row>
    <row r="109" spans="2:20" s="62" customFormat="1" ht="24.75" customHeight="1" x14ac:dyDescent="0.25">
      <c r="B109" s="59"/>
      <c r="C109" s="39"/>
      <c r="D109" s="140"/>
      <c r="E109" s="749" t="s">
        <v>444</v>
      </c>
      <c r="F109" s="1582" t="s">
        <v>160</v>
      </c>
      <c r="G109" s="1583"/>
      <c r="H109" s="676" t="s">
        <v>161</v>
      </c>
      <c r="I109" s="200" t="s">
        <v>400</v>
      </c>
      <c r="J109" s="630">
        <f>SUM(J110:J112)</f>
        <v>14450000000</v>
      </c>
      <c r="K109" s="630">
        <f>SUM(K110:K112)</f>
        <v>14450000000</v>
      </c>
      <c r="L109" s="885">
        <f t="shared" si="37"/>
        <v>2890000000</v>
      </c>
      <c r="M109" s="885">
        <f t="shared" si="38"/>
        <v>5780000000</v>
      </c>
      <c r="N109" s="885">
        <f t="shared" si="39"/>
        <v>5780000000</v>
      </c>
      <c r="O109" s="146">
        <f t="shared" si="40"/>
        <v>0</v>
      </c>
      <c r="P109" s="147"/>
      <c r="Q109" s="146">
        <f t="shared" si="41"/>
        <v>14450000000</v>
      </c>
      <c r="R109" s="586"/>
      <c r="S109" s="118"/>
      <c r="T109" s="731">
        <f t="shared" si="42"/>
        <v>0</v>
      </c>
    </row>
    <row r="110" spans="2:20" s="113" customFormat="1" ht="15.75" hidden="1" customHeight="1" x14ac:dyDescent="0.25">
      <c r="B110" s="59"/>
      <c r="C110" s="127"/>
      <c r="D110" s="128"/>
      <c r="E110" s="938"/>
      <c r="F110" s="753" t="s">
        <v>46</v>
      </c>
      <c r="G110" s="139" t="s">
        <v>162</v>
      </c>
      <c r="H110" s="601"/>
      <c r="I110" s="176" t="s">
        <v>148</v>
      </c>
      <c r="J110" s="635">
        <f>7500000000+450000000</f>
        <v>7950000000</v>
      </c>
      <c r="K110" s="635">
        <v>7950000000</v>
      </c>
      <c r="L110" s="890">
        <f t="shared" si="37"/>
        <v>1590000000</v>
      </c>
      <c r="M110" s="890">
        <f t="shared" si="38"/>
        <v>3180000000</v>
      </c>
      <c r="N110" s="890">
        <f t="shared" si="39"/>
        <v>3180000000</v>
      </c>
      <c r="O110" s="177">
        <f t="shared" si="40"/>
        <v>0</v>
      </c>
      <c r="P110" s="178"/>
      <c r="Q110" s="177">
        <f t="shared" si="41"/>
        <v>7950000000</v>
      </c>
      <c r="R110" s="585"/>
      <c r="S110" s="178"/>
      <c r="T110" s="926">
        <f t="shared" si="42"/>
        <v>0</v>
      </c>
    </row>
    <row r="111" spans="2:20" s="113" customFormat="1" ht="15.75" hidden="1" customHeight="1" x14ac:dyDescent="0.25">
      <c r="B111" s="59"/>
      <c r="C111" s="127"/>
      <c r="D111" s="128"/>
      <c r="E111" s="750"/>
      <c r="F111" s="753" t="s">
        <v>46</v>
      </c>
      <c r="G111" s="139" t="s">
        <v>163</v>
      </c>
      <c r="H111" s="601"/>
      <c r="I111" s="176" t="s">
        <v>111</v>
      </c>
      <c r="J111" s="635">
        <v>3000000000</v>
      </c>
      <c r="K111" s="635">
        <v>3000000000</v>
      </c>
      <c r="L111" s="890">
        <f t="shared" si="37"/>
        <v>600000000</v>
      </c>
      <c r="M111" s="890">
        <f t="shared" si="38"/>
        <v>1200000000</v>
      </c>
      <c r="N111" s="890">
        <f t="shared" si="39"/>
        <v>1200000000</v>
      </c>
      <c r="O111" s="177">
        <f t="shared" si="40"/>
        <v>0</v>
      </c>
      <c r="P111" s="178"/>
      <c r="Q111" s="177">
        <f t="shared" si="41"/>
        <v>3000000000</v>
      </c>
      <c r="R111" s="585"/>
      <c r="S111" s="178"/>
      <c r="T111" s="926">
        <f t="shared" si="42"/>
        <v>0</v>
      </c>
    </row>
    <row r="112" spans="2:20" s="133" customFormat="1" ht="27" hidden="1" customHeight="1" x14ac:dyDescent="0.25">
      <c r="B112" s="59"/>
      <c r="C112" s="194"/>
      <c r="D112" s="195"/>
      <c r="E112" s="937"/>
      <c r="F112" s="757" t="s">
        <v>46</v>
      </c>
      <c r="G112" s="139" t="s">
        <v>164</v>
      </c>
      <c r="H112" s="601"/>
      <c r="I112" s="176" t="s">
        <v>165</v>
      </c>
      <c r="J112" s="635">
        <v>3500000000</v>
      </c>
      <c r="K112" s="635">
        <v>3500000000</v>
      </c>
      <c r="L112" s="890">
        <f t="shared" si="37"/>
        <v>700000000</v>
      </c>
      <c r="M112" s="890">
        <f t="shared" si="38"/>
        <v>1400000000</v>
      </c>
      <c r="N112" s="890">
        <f t="shared" si="39"/>
        <v>1400000000</v>
      </c>
      <c r="O112" s="177">
        <f t="shared" si="40"/>
        <v>0</v>
      </c>
      <c r="P112" s="199"/>
      <c r="Q112" s="177">
        <f t="shared" si="41"/>
        <v>3500000000</v>
      </c>
      <c r="R112" s="588"/>
      <c r="S112" s="199"/>
      <c r="T112" s="927">
        <f t="shared" si="42"/>
        <v>0</v>
      </c>
    </row>
    <row r="113" spans="2:20" s="62" customFormat="1" ht="27" customHeight="1" x14ac:dyDescent="0.25">
      <c r="B113" s="59"/>
      <c r="C113" s="39"/>
      <c r="D113" s="140"/>
      <c r="E113" s="749" t="s">
        <v>445</v>
      </c>
      <c r="F113" s="1582" t="s">
        <v>167</v>
      </c>
      <c r="G113" s="1583"/>
      <c r="H113" s="469" t="s">
        <v>168</v>
      </c>
      <c r="I113" s="756" t="s">
        <v>405</v>
      </c>
      <c r="J113" s="630">
        <f>SUM(J114:J117)</f>
        <v>11065000000</v>
      </c>
      <c r="K113" s="630">
        <f>SUM(K114:K116)</f>
        <v>11565000000</v>
      </c>
      <c r="L113" s="885">
        <f t="shared" si="37"/>
        <v>2313000000</v>
      </c>
      <c r="M113" s="885">
        <f t="shared" si="38"/>
        <v>4626000000</v>
      </c>
      <c r="N113" s="885">
        <f t="shared" si="39"/>
        <v>4626000000</v>
      </c>
      <c r="O113" s="146">
        <f t="shared" si="40"/>
        <v>0</v>
      </c>
      <c r="P113" s="147"/>
      <c r="Q113" s="146">
        <f t="shared" si="41"/>
        <v>11565000000</v>
      </c>
      <c r="R113" s="589"/>
      <c r="S113" s="118"/>
      <c r="T113" s="731">
        <f t="shared" si="42"/>
        <v>0</v>
      </c>
    </row>
    <row r="114" spans="2:20" s="113" customFormat="1" hidden="1" x14ac:dyDescent="0.25">
      <c r="B114" s="59"/>
      <c r="C114" s="127"/>
      <c r="D114" s="128"/>
      <c r="E114" s="750"/>
      <c r="F114" s="753" t="s">
        <v>46</v>
      </c>
      <c r="G114" s="175" t="s">
        <v>150</v>
      </c>
      <c r="H114" s="601"/>
      <c r="I114" s="176" t="s">
        <v>159</v>
      </c>
      <c r="J114" s="635">
        <v>4215000000</v>
      </c>
      <c r="K114" s="635">
        <f>4000000000+215000000</f>
        <v>4215000000</v>
      </c>
      <c r="L114" s="890">
        <f t="shared" si="37"/>
        <v>843000000</v>
      </c>
      <c r="M114" s="890">
        <f t="shared" si="38"/>
        <v>1686000000</v>
      </c>
      <c r="N114" s="890">
        <f t="shared" si="39"/>
        <v>1686000000</v>
      </c>
      <c r="O114" s="177">
        <f t="shared" si="40"/>
        <v>0</v>
      </c>
      <c r="P114" s="178"/>
      <c r="Q114" s="177">
        <f t="shared" si="41"/>
        <v>4215000000</v>
      </c>
      <c r="R114" s="585"/>
      <c r="S114" s="178"/>
      <c r="T114" s="926">
        <f t="shared" si="42"/>
        <v>0</v>
      </c>
    </row>
    <row r="115" spans="2:20" s="113" customFormat="1" hidden="1" x14ac:dyDescent="0.25">
      <c r="B115" s="59"/>
      <c r="C115" s="127"/>
      <c r="D115" s="128"/>
      <c r="E115" s="750"/>
      <c r="F115" s="753" t="s">
        <v>46</v>
      </c>
      <c r="G115" s="175" t="s">
        <v>169</v>
      </c>
      <c r="H115" s="601"/>
      <c r="I115" s="176" t="s">
        <v>148</v>
      </c>
      <c r="J115" s="635">
        <v>6000000000</v>
      </c>
      <c r="K115" s="635">
        <v>6000000000</v>
      </c>
      <c r="L115" s="890">
        <f t="shared" si="37"/>
        <v>1200000000</v>
      </c>
      <c r="M115" s="890">
        <f t="shared" si="38"/>
        <v>2400000000</v>
      </c>
      <c r="N115" s="890">
        <f t="shared" si="39"/>
        <v>2400000000</v>
      </c>
      <c r="O115" s="177">
        <f t="shared" si="40"/>
        <v>0</v>
      </c>
      <c r="P115" s="178"/>
      <c r="Q115" s="177">
        <f t="shared" si="41"/>
        <v>6000000000</v>
      </c>
      <c r="R115" s="585"/>
      <c r="S115" s="178"/>
      <c r="T115" s="926">
        <f t="shared" si="42"/>
        <v>0</v>
      </c>
    </row>
    <row r="116" spans="2:20" s="113" customFormat="1" ht="15.75" hidden="1" customHeight="1" x14ac:dyDescent="0.25">
      <c r="B116" s="703"/>
      <c r="C116" s="127"/>
      <c r="D116" s="128"/>
      <c r="E116" s="754"/>
      <c r="F116" s="757" t="s">
        <v>46</v>
      </c>
      <c r="G116" s="175" t="s">
        <v>170</v>
      </c>
      <c r="H116" s="601"/>
      <c r="I116" s="758" t="s">
        <v>401</v>
      </c>
      <c r="J116" s="635">
        <v>0</v>
      </c>
      <c r="K116" s="635">
        <f>500000000+850000000</f>
        <v>1350000000</v>
      </c>
      <c r="L116" s="890">
        <f t="shared" si="37"/>
        <v>270000000</v>
      </c>
      <c r="M116" s="890">
        <f t="shared" si="38"/>
        <v>540000000</v>
      </c>
      <c r="N116" s="890">
        <f t="shared" si="39"/>
        <v>540000000</v>
      </c>
      <c r="O116" s="177">
        <f t="shared" si="40"/>
        <v>0</v>
      </c>
      <c r="P116" s="178"/>
      <c r="Q116" s="177">
        <f t="shared" si="41"/>
        <v>1350000000</v>
      </c>
      <c r="R116" s="585"/>
      <c r="S116" s="178"/>
      <c r="T116" s="926">
        <f t="shared" si="42"/>
        <v>0</v>
      </c>
    </row>
    <row r="117" spans="2:20" s="113" customFormat="1" ht="15.75" hidden="1" customHeight="1" x14ac:dyDescent="0.25">
      <c r="B117" s="703"/>
      <c r="C117" s="127"/>
      <c r="D117" s="128"/>
      <c r="E117" s="754"/>
      <c r="F117" s="757" t="s">
        <v>46</v>
      </c>
      <c r="G117" s="175" t="s">
        <v>170</v>
      </c>
      <c r="H117" s="601"/>
      <c r="I117" s="758" t="s">
        <v>401</v>
      </c>
      <c r="J117" s="635">
        <v>850000000</v>
      </c>
      <c r="K117" s="635">
        <v>0</v>
      </c>
      <c r="L117" s="890">
        <f t="shared" si="37"/>
        <v>0</v>
      </c>
      <c r="M117" s="890">
        <f t="shared" si="38"/>
        <v>0</v>
      </c>
      <c r="N117" s="890">
        <f t="shared" si="39"/>
        <v>0</v>
      </c>
      <c r="O117" s="177">
        <f t="shared" si="40"/>
        <v>0</v>
      </c>
      <c r="P117" s="178"/>
      <c r="Q117" s="177">
        <f t="shared" si="41"/>
        <v>0</v>
      </c>
      <c r="R117" s="585" t="s">
        <v>134</v>
      </c>
      <c r="S117" s="178">
        <v>850000000</v>
      </c>
      <c r="T117" s="926">
        <f t="shared" si="42"/>
        <v>0</v>
      </c>
    </row>
    <row r="118" spans="2:20" s="62" customFormat="1" ht="31.5" customHeight="1" x14ac:dyDescent="0.25">
      <c r="B118" s="59"/>
      <c r="C118" s="39"/>
      <c r="D118" s="109"/>
      <c r="E118" s="88" t="s">
        <v>446</v>
      </c>
      <c r="F118" s="1577" t="s">
        <v>172</v>
      </c>
      <c r="G118" s="1578"/>
      <c r="H118" s="173" t="s">
        <v>173</v>
      </c>
      <c r="I118" s="200" t="str">
        <f>I119</f>
        <v>0,5 Km</v>
      </c>
      <c r="J118" s="630">
        <f>J119</f>
        <v>3000000000</v>
      </c>
      <c r="K118" s="630">
        <f>K119</f>
        <v>3000000000</v>
      </c>
      <c r="L118" s="885">
        <f t="shared" ref="L118:L129" si="43">K118*$V$9</f>
        <v>600000000</v>
      </c>
      <c r="M118" s="885">
        <f t="shared" ref="M118:M129" si="44">K118*$W$9</f>
        <v>1200000000</v>
      </c>
      <c r="N118" s="885">
        <f t="shared" ref="N118:N129" si="45">K118*$X$9</f>
        <v>1200000000</v>
      </c>
      <c r="O118" s="146">
        <f t="shared" ref="O118:O129" si="46">K118*$Y$9</f>
        <v>0</v>
      </c>
      <c r="P118" s="147"/>
      <c r="Q118" s="146">
        <f t="shared" si="41"/>
        <v>3000000000</v>
      </c>
      <c r="R118" s="586"/>
      <c r="S118" s="118"/>
      <c r="T118" s="731">
        <f t="shared" si="42"/>
        <v>0</v>
      </c>
    </row>
    <row r="119" spans="2:20" s="113" customFormat="1" hidden="1" x14ac:dyDescent="0.25">
      <c r="B119" s="59"/>
      <c r="C119" s="127"/>
      <c r="D119" s="128"/>
      <c r="E119" s="115"/>
      <c r="F119" s="130" t="s">
        <v>46</v>
      </c>
      <c r="G119" s="175" t="s">
        <v>175</v>
      </c>
      <c r="H119" s="602"/>
      <c r="I119" s="176" t="s">
        <v>144</v>
      </c>
      <c r="J119" s="627">
        <v>3000000000</v>
      </c>
      <c r="K119" s="627">
        <v>3000000000</v>
      </c>
      <c r="L119" s="882">
        <f t="shared" si="43"/>
        <v>600000000</v>
      </c>
      <c r="M119" s="882">
        <f t="shared" si="44"/>
        <v>1200000000</v>
      </c>
      <c r="N119" s="882">
        <f t="shared" si="45"/>
        <v>1200000000</v>
      </c>
      <c r="O119" s="125">
        <f t="shared" si="46"/>
        <v>0</v>
      </c>
      <c r="P119" s="126"/>
      <c r="Q119" s="125">
        <f t="shared" si="41"/>
        <v>3000000000</v>
      </c>
      <c r="R119" s="585"/>
      <c r="S119" s="126"/>
      <c r="T119" s="926">
        <f t="shared" si="42"/>
        <v>0</v>
      </c>
    </row>
    <row r="120" spans="2:20" s="113" customFormat="1" ht="29.25" customHeight="1" x14ac:dyDescent="0.25">
      <c r="B120" s="59"/>
      <c r="C120" s="39"/>
      <c r="D120" s="109"/>
      <c r="E120" s="88" t="s">
        <v>447</v>
      </c>
      <c r="F120" s="1577" t="s">
        <v>176</v>
      </c>
      <c r="G120" s="1578"/>
      <c r="H120" s="173" t="s">
        <v>177</v>
      </c>
      <c r="I120" s="200" t="str">
        <f>I121</f>
        <v>0,9 Km</v>
      </c>
      <c r="J120" s="625">
        <f>SUM(J121)</f>
        <v>5000000000</v>
      </c>
      <c r="K120" s="625">
        <f>SUM(K121)</f>
        <v>5000000000</v>
      </c>
      <c r="L120" s="880">
        <f t="shared" si="43"/>
        <v>1000000000</v>
      </c>
      <c r="M120" s="880">
        <f t="shared" si="44"/>
        <v>2000000000</v>
      </c>
      <c r="N120" s="880">
        <f t="shared" si="45"/>
        <v>2000000000</v>
      </c>
      <c r="O120" s="111">
        <f t="shared" si="46"/>
        <v>0</v>
      </c>
      <c r="P120" s="112"/>
      <c r="Q120" s="111">
        <f t="shared" si="41"/>
        <v>5000000000</v>
      </c>
      <c r="R120" s="585"/>
      <c r="S120" s="112"/>
      <c r="T120" s="926">
        <f t="shared" si="42"/>
        <v>0</v>
      </c>
    </row>
    <row r="121" spans="2:20" s="113" customFormat="1" ht="15.75" hidden="1" customHeight="1" x14ac:dyDescent="0.25">
      <c r="B121" s="59"/>
      <c r="C121" s="127"/>
      <c r="D121" s="128"/>
      <c r="E121" s="216"/>
      <c r="F121" s="130" t="s">
        <v>46</v>
      </c>
      <c r="G121" s="175" t="s">
        <v>178</v>
      </c>
      <c r="H121" s="602"/>
      <c r="I121" s="217" t="s">
        <v>396</v>
      </c>
      <c r="J121" s="638">
        <v>5000000000</v>
      </c>
      <c r="K121" s="638">
        <v>5000000000</v>
      </c>
      <c r="L121" s="891">
        <f t="shared" si="43"/>
        <v>1000000000</v>
      </c>
      <c r="M121" s="891">
        <f t="shared" si="44"/>
        <v>2000000000</v>
      </c>
      <c r="N121" s="891">
        <f t="shared" si="45"/>
        <v>2000000000</v>
      </c>
      <c r="O121" s="177">
        <f t="shared" si="46"/>
        <v>0</v>
      </c>
      <c r="P121" s="219"/>
      <c r="Q121" s="218">
        <f t="shared" si="41"/>
        <v>5000000000</v>
      </c>
      <c r="R121" s="585"/>
      <c r="S121" s="493"/>
      <c r="T121" s="926">
        <f t="shared" si="42"/>
        <v>0</v>
      </c>
    </row>
    <row r="122" spans="2:20" s="113" customFormat="1" ht="24" customHeight="1" x14ac:dyDescent="0.25">
      <c r="B122" s="59"/>
      <c r="C122" s="39"/>
      <c r="D122" s="109"/>
      <c r="E122" s="88" t="s">
        <v>389</v>
      </c>
      <c r="F122" s="1577" t="s">
        <v>179</v>
      </c>
      <c r="G122" s="1578"/>
      <c r="H122" s="173" t="s">
        <v>180</v>
      </c>
      <c r="I122" s="200" t="str">
        <f>I123</f>
        <v>1,1 Km</v>
      </c>
      <c r="J122" s="625">
        <f>SUM(J123)</f>
        <v>12000000000</v>
      </c>
      <c r="K122" s="625">
        <f>SUM(K123)</f>
        <v>12000000000</v>
      </c>
      <c r="L122" s="880">
        <f t="shared" si="43"/>
        <v>2400000000</v>
      </c>
      <c r="M122" s="880">
        <f t="shared" si="44"/>
        <v>4800000000</v>
      </c>
      <c r="N122" s="880">
        <f t="shared" si="45"/>
        <v>4800000000</v>
      </c>
      <c r="O122" s="111">
        <f t="shared" si="46"/>
        <v>0</v>
      </c>
      <c r="P122" s="112"/>
      <c r="Q122" s="111">
        <f t="shared" si="41"/>
        <v>12000000000</v>
      </c>
      <c r="R122" s="585"/>
      <c r="S122" s="112"/>
      <c r="T122" s="926">
        <f t="shared" si="42"/>
        <v>0</v>
      </c>
    </row>
    <row r="123" spans="2:20" s="113" customFormat="1" ht="13.5" hidden="1" customHeight="1" x14ac:dyDescent="0.25">
      <c r="B123" s="59"/>
      <c r="C123" s="127"/>
      <c r="D123" s="128"/>
      <c r="E123" s="115"/>
      <c r="F123" s="130" t="s">
        <v>46</v>
      </c>
      <c r="G123" s="220" t="s">
        <v>468</v>
      </c>
      <c r="H123" s="602"/>
      <c r="I123" s="176" t="s">
        <v>406</v>
      </c>
      <c r="J123" s="635">
        <v>12000000000</v>
      </c>
      <c r="K123" s="635">
        <v>12000000000</v>
      </c>
      <c r="L123" s="890">
        <f t="shared" si="43"/>
        <v>2400000000</v>
      </c>
      <c r="M123" s="890">
        <f t="shared" si="44"/>
        <v>4800000000</v>
      </c>
      <c r="N123" s="890">
        <f t="shared" si="45"/>
        <v>4800000000</v>
      </c>
      <c r="O123" s="177">
        <f t="shared" si="46"/>
        <v>0</v>
      </c>
      <c r="P123" s="178"/>
      <c r="Q123" s="177">
        <f t="shared" si="41"/>
        <v>12000000000</v>
      </c>
      <c r="R123" s="585"/>
      <c r="S123" s="178"/>
      <c r="T123" s="926">
        <f t="shared" si="42"/>
        <v>0</v>
      </c>
    </row>
    <row r="124" spans="2:20" s="62" customFormat="1" ht="27.75" customHeight="1" x14ac:dyDescent="0.25">
      <c r="B124" s="59"/>
      <c r="C124" s="39"/>
      <c r="D124" s="109"/>
      <c r="E124" s="88" t="s">
        <v>448</v>
      </c>
      <c r="F124" s="1577" t="s">
        <v>181</v>
      </c>
      <c r="G124" s="1578"/>
      <c r="H124" s="173" t="s">
        <v>182</v>
      </c>
      <c r="I124" s="200" t="s">
        <v>462</v>
      </c>
      <c r="J124" s="626">
        <f>SUM(J125:J126)</f>
        <v>8700000000</v>
      </c>
      <c r="K124" s="626">
        <f>SUM(K125:K126)</f>
        <v>8700000000</v>
      </c>
      <c r="L124" s="881">
        <f t="shared" si="43"/>
        <v>1740000000</v>
      </c>
      <c r="M124" s="881">
        <f t="shared" si="44"/>
        <v>3480000000</v>
      </c>
      <c r="N124" s="881">
        <f t="shared" si="45"/>
        <v>3480000000</v>
      </c>
      <c r="O124" s="117">
        <f t="shared" si="46"/>
        <v>0</v>
      </c>
      <c r="P124" s="118"/>
      <c r="Q124" s="117">
        <f t="shared" si="41"/>
        <v>8700000000</v>
      </c>
      <c r="R124" s="589"/>
      <c r="S124" s="118"/>
      <c r="T124" s="731">
        <f t="shared" si="42"/>
        <v>0</v>
      </c>
    </row>
    <row r="125" spans="2:20" s="113" customFormat="1" hidden="1" x14ac:dyDescent="0.25">
      <c r="B125" s="59"/>
      <c r="C125" s="127"/>
      <c r="D125" s="128"/>
      <c r="E125" s="115"/>
      <c r="F125" s="174" t="s">
        <v>46</v>
      </c>
      <c r="G125" s="175" t="s">
        <v>424</v>
      </c>
      <c r="H125" s="602"/>
      <c r="I125" s="176" t="s">
        <v>451</v>
      </c>
      <c r="J125" s="635">
        <v>3000000000</v>
      </c>
      <c r="K125" s="635">
        <v>3000000000</v>
      </c>
      <c r="L125" s="890">
        <f t="shared" si="43"/>
        <v>600000000</v>
      </c>
      <c r="M125" s="890">
        <f t="shared" si="44"/>
        <v>1200000000</v>
      </c>
      <c r="N125" s="890">
        <f t="shared" si="45"/>
        <v>1200000000</v>
      </c>
      <c r="O125" s="177">
        <f t="shared" si="46"/>
        <v>0</v>
      </c>
      <c r="P125" s="178"/>
      <c r="Q125" s="177">
        <f t="shared" si="41"/>
        <v>3000000000</v>
      </c>
      <c r="R125" s="585"/>
      <c r="S125" s="178"/>
      <c r="T125" s="926">
        <f t="shared" si="42"/>
        <v>0</v>
      </c>
    </row>
    <row r="126" spans="2:20" s="113" customFormat="1" hidden="1" x14ac:dyDescent="0.25">
      <c r="B126" s="59"/>
      <c r="C126" s="127"/>
      <c r="D126" s="128"/>
      <c r="E126" s="115"/>
      <c r="F126" s="174" t="s">
        <v>46</v>
      </c>
      <c r="G126" s="175" t="s">
        <v>183</v>
      </c>
      <c r="H126" s="602"/>
      <c r="I126" s="483" t="s">
        <v>395</v>
      </c>
      <c r="J126" s="635">
        <v>5700000000</v>
      </c>
      <c r="K126" s="635">
        <f>500000000+5200000000</f>
        <v>5700000000</v>
      </c>
      <c r="L126" s="890">
        <f t="shared" si="43"/>
        <v>1140000000</v>
      </c>
      <c r="M126" s="890">
        <f t="shared" si="44"/>
        <v>2280000000</v>
      </c>
      <c r="N126" s="890">
        <f t="shared" si="45"/>
        <v>2280000000</v>
      </c>
      <c r="O126" s="177">
        <f t="shared" si="46"/>
        <v>0</v>
      </c>
      <c r="P126" s="178"/>
      <c r="Q126" s="177">
        <f t="shared" si="41"/>
        <v>5700000000</v>
      </c>
      <c r="R126" s="585"/>
      <c r="S126" s="178"/>
      <c r="T126" s="926">
        <f t="shared" si="42"/>
        <v>0</v>
      </c>
    </row>
    <row r="127" spans="2:20" s="29" customFormat="1" ht="26.25" customHeight="1" x14ac:dyDescent="0.25">
      <c r="B127" s="13"/>
      <c r="C127" s="39"/>
      <c r="D127" s="109"/>
      <c r="E127" s="88" t="s">
        <v>449</v>
      </c>
      <c r="F127" s="1579" t="s">
        <v>186</v>
      </c>
      <c r="G127" s="1580"/>
      <c r="H127" s="173" t="s">
        <v>187</v>
      </c>
      <c r="I127" s="224" t="s">
        <v>463</v>
      </c>
      <c r="J127" s="630">
        <f>SUM(J128:J129)</f>
        <v>11500000000</v>
      </c>
      <c r="K127" s="630">
        <f>SUM(K128:K129)</f>
        <v>11500000000</v>
      </c>
      <c r="L127" s="885">
        <f t="shared" si="43"/>
        <v>2300000000</v>
      </c>
      <c r="M127" s="885">
        <f t="shared" si="44"/>
        <v>4600000000</v>
      </c>
      <c r="N127" s="885">
        <f t="shared" si="45"/>
        <v>4600000000</v>
      </c>
      <c r="O127" s="146">
        <f t="shared" si="46"/>
        <v>0</v>
      </c>
      <c r="P127" s="147"/>
      <c r="Q127" s="146">
        <f t="shared" si="41"/>
        <v>11500000000</v>
      </c>
      <c r="R127" s="590"/>
      <c r="S127" s="118"/>
      <c r="T127" s="396">
        <f t="shared" si="42"/>
        <v>0</v>
      </c>
    </row>
    <row r="128" spans="2:20" s="113" customFormat="1" ht="15.75" hidden="1" customHeight="1" x14ac:dyDescent="0.25">
      <c r="B128" s="59"/>
      <c r="C128" s="127"/>
      <c r="D128" s="128"/>
      <c r="E128" s="115"/>
      <c r="F128" s="225" t="s">
        <v>46</v>
      </c>
      <c r="G128" s="139" t="s">
        <v>423</v>
      </c>
      <c r="H128" s="602"/>
      <c r="I128" s="176" t="s">
        <v>111</v>
      </c>
      <c r="J128" s="639">
        <v>4000000000</v>
      </c>
      <c r="K128" s="639">
        <f>2000000000+2000000000</f>
        <v>4000000000</v>
      </c>
      <c r="L128" s="892">
        <f t="shared" si="43"/>
        <v>800000000</v>
      </c>
      <c r="M128" s="892">
        <f t="shared" si="44"/>
        <v>1600000000</v>
      </c>
      <c r="N128" s="892">
        <f t="shared" si="45"/>
        <v>1600000000</v>
      </c>
      <c r="O128" s="226">
        <f t="shared" si="46"/>
        <v>0</v>
      </c>
      <c r="P128" s="227"/>
      <c r="Q128" s="226">
        <f t="shared" si="41"/>
        <v>4000000000</v>
      </c>
      <c r="R128" s="585"/>
      <c r="S128" s="126"/>
      <c r="T128" s="926">
        <f t="shared" si="42"/>
        <v>0</v>
      </c>
    </row>
    <row r="129" spans="2:22" s="113" customFormat="1" ht="15" hidden="1" customHeight="1" x14ac:dyDescent="0.25">
      <c r="B129" s="59"/>
      <c r="C129" s="127"/>
      <c r="D129" s="128"/>
      <c r="E129" s="115"/>
      <c r="F129" s="130" t="s">
        <v>46</v>
      </c>
      <c r="G129" s="201" t="s">
        <v>140</v>
      </c>
      <c r="H129" s="602"/>
      <c r="I129" s="116" t="s">
        <v>141</v>
      </c>
      <c r="J129" s="635">
        <v>7500000000</v>
      </c>
      <c r="K129" s="635">
        <v>7500000000</v>
      </c>
      <c r="L129" s="890">
        <f t="shared" si="43"/>
        <v>1500000000</v>
      </c>
      <c r="M129" s="890">
        <f t="shared" si="44"/>
        <v>3000000000</v>
      </c>
      <c r="N129" s="890">
        <f t="shared" si="45"/>
        <v>3000000000</v>
      </c>
      <c r="O129" s="177">
        <f t="shared" si="46"/>
        <v>0</v>
      </c>
      <c r="P129" s="178"/>
      <c r="Q129" s="177">
        <f t="shared" si="41"/>
        <v>7500000000</v>
      </c>
      <c r="R129" s="585"/>
      <c r="S129" s="178"/>
      <c r="T129" s="926">
        <f t="shared" si="42"/>
        <v>0</v>
      </c>
    </row>
    <row r="130" spans="2:22" ht="3.75" customHeight="1" x14ac:dyDescent="0.25">
      <c r="C130" s="471"/>
      <c r="D130" s="375"/>
      <c r="E130" s="96"/>
      <c r="F130" s="472"/>
      <c r="G130" s="473"/>
      <c r="H130" s="474"/>
      <c r="I130" s="475"/>
      <c r="J130" s="640"/>
      <c r="K130" s="640"/>
      <c r="L130" s="893">
        <f t="shared" ref="L130" si="47">0.2*K130</f>
        <v>0</v>
      </c>
      <c r="M130" s="893"/>
      <c r="N130" s="893"/>
      <c r="O130" s="476"/>
      <c r="P130" s="228"/>
      <c r="Q130" s="476">
        <f t="shared" si="41"/>
        <v>0</v>
      </c>
      <c r="R130" s="594"/>
      <c r="S130" s="494"/>
      <c r="T130" s="925">
        <f t="shared" si="42"/>
        <v>0</v>
      </c>
      <c r="V130" s="230"/>
    </row>
    <row r="131" spans="2:22" s="15" customFormat="1" ht="22.5" customHeight="1" x14ac:dyDescent="0.25">
      <c r="B131" s="13"/>
      <c r="C131" s="1506" t="s">
        <v>452</v>
      </c>
      <c r="D131" s="1507"/>
      <c r="E131" s="1558" t="s">
        <v>189</v>
      </c>
      <c r="F131" s="1559"/>
      <c r="G131" s="1560"/>
      <c r="H131" s="231" t="s">
        <v>190</v>
      </c>
      <c r="I131" s="232"/>
      <c r="J131" s="641">
        <f t="shared" ref="J131:O131" si="48">J132+J133+J134+J135+J139+J140+J141+J142+J143+J144+J145+J148+J149+J150+J151+J152+J153+J154</f>
        <v>61485840000</v>
      </c>
      <c r="K131" s="641">
        <f t="shared" si="48"/>
        <v>58285840000</v>
      </c>
      <c r="L131" s="894">
        <f t="shared" si="48"/>
        <v>11657168000</v>
      </c>
      <c r="M131" s="894">
        <f t="shared" si="48"/>
        <v>20085752000</v>
      </c>
      <c r="N131" s="894">
        <f t="shared" si="48"/>
        <v>20085752000</v>
      </c>
      <c r="O131" s="233">
        <f t="shared" si="48"/>
        <v>6457168000</v>
      </c>
      <c r="P131" s="26"/>
      <c r="Q131" s="233">
        <f t="shared" si="41"/>
        <v>58285840000</v>
      </c>
      <c r="R131" s="596"/>
      <c r="S131" s="495"/>
      <c r="T131" s="731">
        <f t="shared" si="42"/>
        <v>0</v>
      </c>
      <c r="U131" s="21"/>
    </row>
    <row r="132" spans="2:22" s="29" customFormat="1" ht="18" customHeight="1" x14ac:dyDescent="0.25">
      <c r="B132" s="13"/>
      <c r="C132" s="49"/>
      <c r="D132" s="79"/>
      <c r="E132" s="77" t="s">
        <v>5</v>
      </c>
      <c r="F132" s="1575" t="s">
        <v>191</v>
      </c>
      <c r="G132" s="1576"/>
      <c r="H132" s="235" t="s">
        <v>192</v>
      </c>
      <c r="I132" s="236" t="s">
        <v>471</v>
      </c>
      <c r="J132" s="642">
        <v>2135760000</v>
      </c>
      <c r="K132" s="642">
        <v>2135760000</v>
      </c>
      <c r="L132" s="895">
        <f t="shared" ref="L132:L154" si="49">K132*$V$9</f>
        <v>427152000</v>
      </c>
      <c r="M132" s="895">
        <f>K132*$W$11</f>
        <v>640728000</v>
      </c>
      <c r="N132" s="895">
        <f>K132*$X$11</f>
        <v>640728000</v>
      </c>
      <c r="O132" s="237">
        <f>K132*$Y$11</f>
        <v>427152000</v>
      </c>
      <c r="P132" s="238"/>
      <c r="Q132" s="237">
        <f t="shared" si="41"/>
        <v>2135760000</v>
      </c>
      <c r="R132" s="595"/>
      <c r="S132" s="496"/>
      <c r="T132" s="731">
        <f t="shared" si="42"/>
        <v>0</v>
      </c>
    </row>
    <row r="133" spans="2:22" s="29" customFormat="1" ht="21" customHeight="1" x14ac:dyDescent="0.25">
      <c r="B133" s="13"/>
      <c r="C133" s="49"/>
      <c r="D133" s="79"/>
      <c r="E133" s="77" t="s">
        <v>10</v>
      </c>
      <c r="F133" s="1569" t="s">
        <v>193</v>
      </c>
      <c r="G133" s="1570"/>
      <c r="H133" s="235" t="s">
        <v>194</v>
      </c>
      <c r="I133" s="236" t="s">
        <v>403</v>
      </c>
      <c r="J133" s="642">
        <v>2422200000</v>
      </c>
      <c r="K133" s="642">
        <v>2422200000</v>
      </c>
      <c r="L133" s="895">
        <f t="shared" si="49"/>
        <v>484440000</v>
      </c>
      <c r="M133" s="895">
        <f>K133*$W$11</f>
        <v>726660000</v>
      </c>
      <c r="N133" s="895">
        <f t="shared" ref="N133:N149" si="50">K133*$X$11</f>
        <v>726660000</v>
      </c>
      <c r="O133" s="237">
        <f t="shared" ref="O133:O149" si="51">K133*$Y$11</f>
        <v>484440000</v>
      </c>
      <c r="P133" s="238"/>
      <c r="Q133" s="237">
        <f t="shared" si="41"/>
        <v>2422200000</v>
      </c>
      <c r="R133" s="591"/>
      <c r="S133" s="496"/>
      <c r="T133" s="731">
        <f t="shared" si="42"/>
        <v>0</v>
      </c>
      <c r="U133" s="28"/>
    </row>
    <row r="134" spans="2:22" s="29" customFormat="1" ht="24.75" customHeight="1" x14ac:dyDescent="0.25">
      <c r="B134" s="13"/>
      <c r="C134" s="39"/>
      <c r="D134" s="140"/>
      <c r="E134" s="109" t="s">
        <v>13</v>
      </c>
      <c r="F134" s="1569" t="s">
        <v>195</v>
      </c>
      <c r="G134" s="1570"/>
      <c r="H134" s="239" t="s">
        <v>196</v>
      </c>
      <c r="I134" s="240" t="s">
        <v>472</v>
      </c>
      <c r="J134" s="643">
        <v>2632740000</v>
      </c>
      <c r="K134" s="643">
        <v>2632740000</v>
      </c>
      <c r="L134" s="896">
        <f t="shared" si="49"/>
        <v>526548000</v>
      </c>
      <c r="M134" s="895">
        <f t="shared" ref="M134:M149" si="52">K134*$W$11</f>
        <v>789822000</v>
      </c>
      <c r="N134" s="895">
        <f t="shared" si="50"/>
        <v>789822000</v>
      </c>
      <c r="O134" s="237">
        <f t="shared" si="51"/>
        <v>526548000</v>
      </c>
      <c r="P134" s="238"/>
      <c r="Q134" s="241">
        <f t="shared" si="41"/>
        <v>2632740000</v>
      </c>
      <c r="R134" s="591"/>
      <c r="S134" s="496"/>
      <c r="T134" s="731">
        <f t="shared" si="42"/>
        <v>0</v>
      </c>
      <c r="U134" s="242"/>
    </row>
    <row r="135" spans="2:22" s="29" customFormat="1" ht="29.25" customHeight="1" x14ac:dyDescent="0.25">
      <c r="B135" s="13"/>
      <c r="C135" s="39"/>
      <c r="D135" s="140"/>
      <c r="E135" s="109" t="s">
        <v>16</v>
      </c>
      <c r="F135" s="1569" t="s">
        <v>197</v>
      </c>
      <c r="G135" s="1570"/>
      <c r="H135" s="239" t="s">
        <v>198</v>
      </c>
      <c r="I135" s="240" t="s">
        <v>199</v>
      </c>
      <c r="J135" s="643">
        <f>SUM(J136:J138)</f>
        <v>3884440000</v>
      </c>
      <c r="K135" s="643">
        <f>SUM(K136:K138)</f>
        <v>3884440000</v>
      </c>
      <c r="L135" s="896">
        <f t="shared" si="49"/>
        <v>776888000</v>
      </c>
      <c r="M135" s="895">
        <f t="shared" si="52"/>
        <v>1165332000</v>
      </c>
      <c r="N135" s="895">
        <f t="shared" si="50"/>
        <v>1165332000</v>
      </c>
      <c r="O135" s="237">
        <f t="shared" si="51"/>
        <v>776888000</v>
      </c>
      <c r="P135" s="238"/>
      <c r="Q135" s="241">
        <f t="shared" si="41"/>
        <v>3884440000</v>
      </c>
      <c r="R135" s="589"/>
      <c r="S135" s="496"/>
      <c r="T135" s="731">
        <f t="shared" si="42"/>
        <v>0</v>
      </c>
    </row>
    <row r="136" spans="2:22" s="306" customFormat="1" ht="16.5" hidden="1" customHeight="1" x14ac:dyDescent="0.25">
      <c r="B136" s="461"/>
      <c r="C136" s="462"/>
      <c r="D136" s="463"/>
      <c r="E136" s="341"/>
      <c r="F136" s="464" t="s">
        <v>46</v>
      </c>
      <c r="G136" s="460" t="s">
        <v>197</v>
      </c>
      <c r="H136" s="465"/>
      <c r="I136" s="466"/>
      <c r="J136" s="644">
        <v>2684440000</v>
      </c>
      <c r="K136" s="644">
        <v>2684440000</v>
      </c>
      <c r="L136" s="897">
        <f t="shared" si="49"/>
        <v>536888000</v>
      </c>
      <c r="M136" s="895">
        <f t="shared" si="52"/>
        <v>805332000</v>
      </c>
      <c r="N136" s="895">
        <f t="shared" si="50"/>
        <v>805332000</v>
      </c>
      <c r="O136" s="237">
        <f t="shared" si="51"/>
        <v>536888000</v>
      </c>
      <c r="P136" s="468"/>
      <c r="Q136" s="467">
        <f t="shared" si="41"/>
        <v>2684440000</v>
      </c>
      <c r="R136" s="585"/>
      <c r="S136" s="497"/>
      <c r="T136" s="926">
        <f t="shared" si="42"/>
        <v>0</v>
      </c>
    </row>
    <row r="137" spans="2:22" s="306" customFormat="1" ht="29.25" hidden="1" customHeight="1" x14ac:dyDescent="0.25">
      <c r="B137" s="461"/>
      <c r="C137" s="462"/>
      <c r="D137" s="463"/>
      <c r="E137" s="341"/>
      <c r="F137" s="464" t="s">
        <v>46</v>
      </c>
      <c r="G137" s="460" t="s">
        <v>337</v>
      </c>
      <c r="H137" s="465"/>
      <c r="I137" s="466"/>
      <c r="J137" s="644">
        <v>200000000</v>
      </c>
      <c r="K137" s="644">
        <v>200000000</v>
      </c>
      <c r="L137" s="897">
        <f t="shared" si="49"/>
        <v>40000000</v>
      </c>
      <c r="M137" s="895">
        <f t="shared" si="52"/>
        <v>60000000</v>
      </c>
      <c r="N137" s="895">
        <f t="shared" si="50"/>
        <v>60000000</v>
      </c>
      <c r="O137" s="237">
        <f t="shared" si="51"/>
        <v>40000000</v>
      </c>
      <c r="P137" s="468"/>
      <c r="Q137" s="467">
        <f t="shared" si="41"/>
        <v>200000000</v>
      </c>
      <c r="R137" s="585" t="s">
        <v>338</v>
      </c>
      <c r="S137" s="497">
        <v>200000000</v>
      </c>
      <c r="T137" s="926">
        <f t="shared" si="42"/>
        <v>0</v>
      </c>
    </row>
    <row r="138" spans="2:22" s="306" customFormat="1" ht="25.5" hidden="1" x14ac:dyDescent="0.25">
      <c r="B138" s="461"/>
      <c r="C138" s="119"/>
      <c r="D138" s="128"/>
      <c r="E138" s="156"/>
      <c r="F138" s="264" t="s">
        <v>46</v>
      </c>
      <c r="G138" s="812" t="s">
        <v>200</v>
      </c>
      <c r="H138" s="813"/>
      <c r="I138" s="814"/>
      <c r="J138" s="815">
        <f>1000000000</f>
        <v>1000000000</v>
      </c>
      <c r="K138" s="815">
        <f>1000000000</f>
        <v>1000000000</v>
      </c>
      <c r="L138" s="898">
        <f t="shared" si="49"/>
        <v>200000000</v>
      </c>
      <c r="M138" s="895">
        <f t="shared" si="52"/>
        <v>300000000</v>
      </c>
      <c r="N138" s="895">
        <f t="shared" si="50"/>
        <v>300000000</v>
      </c>
      <c r="O138" s="237">
        <f t="shared" si="51"/>
        <v>200000000</v>
      </c>
      <c r="P138" s="817"/>
      <c r="Q138" s="816">
        <f t="shared" si="41"/>
        <v>1000000000</v>
      </c>
      <c r="R138" s="818" t="s">
        <v>420</v>
      </c>
      <c r="S138" s="819">
        <v>1000000000</v>
      </c>
      <c r="T138" s="928">
        <f t="shared" si="42"/>
        <v>0</v>
      </c>
      <c r="V138" s="820"/>
    </row>
    <row r="139" spans="2:22" s="29" customFormat="1" ht="31.5" customHeight="1" x14ac:dyDescent="0.25">
      <c r="B139" s="13"/>
      <c r="C139" s="39"/>
      <c r="D139" s="140"/>
      <c r="E139" s="109" t="s">
        <v>19</v>
      </c>
      <c r="F139" s="1569" t="s">
        <v>391</v>
      </c>
      <c r="G139" s="1570"/>
      <c r="H139" s="239" t="s">
        <v>201</v>
      </c>
      <c r="I139" s="240" t="s">
        <v>474</v>
      </c>
      <c r="J139" s="643">
        <v>2770240000</v>
      </c>
      <c r="K139" s="643">
        <v>2770240000</v>
      </c>
      <c r="L139" s="896">
        <f t="shared" si="49"/>
        <v>554048000</v>
      </c>
      <c r="M139" s="895">
        <f t="shared" si="52"/>
        <v>831072000</v>
      </c>
      <c r="N139" s="895">
        <f t="shared" si="50"/>
        <v>831072000</v>
      </c>
      <c r="O139" s="237">
        <f t="shared" si="51"/>
        <v>554048000</v>
      </c>
      <c r="P139" s="238"/>
      <c r="Q139" s="241">
        <f t="shared" si="41"/>
        <v>2770240000</v>
      </c>
      <c r="R139" s="526"/>
      <c r="S139" s="496"/>
      <c r="T139" s="396">
        <f t="shared" si="42"/>
        <v>0</v>
      </c>
    </row>
    <row r="140" spans="2:22" s="29" customFormat="1" ht="30.75" customHeight="1" x14ac:dyDescent="0.25">
      <c r="B140" s="13"/>
      <c r="C140" s="39"/>
      <c r="D140" s="140"/>
      <c r="E140" s="109" t="s">
        <v>27</v>
      </c>
      <c r="F140" s="1569" t="s">
        <v>202</v>
      </c>
      <c r="G140" s="1570"/>
      <c r="H140" s="239" t="s">
        <v>203</v>
      </c>
      <c r="I140" s="240" t="s">
        <v>475</v>
      </c>
      <c r="J140" s="643">
        <v>1778480000</v>
      </c>
      <c r="K140" s="643">
        <v>1778480000</v>
      </c>
      <c r="L140" s="896">
        <f t="shared" si="49"/>
        <v>355696000</v>
      </c>
      <c r="M140" s="895">
        <f t="shared" si="52"/>
        <v>533544000</v>
      </c>
      <c r="N140" s="895">
        <f t="shared" si="50"/>
        <v>533544000</v>
      </c>
      <c r="O140" s="237">
        <f t="shared" si="51"/>
        <v>355696000</v>
      </c>
      <c r="P140" s="238"/>
      <c r="Q140" s="241">
        <f t="shared" ref="Q140:Q203" si="53">L140+M140+O140+N140</f>
        <v>1778480000</v>
      </c>
      <c r="R140" s="526"/>
      <c r="S140" s="496"/>
      <c r="T140" s="396">
        <f t="shared" si="42"/>
        <v>0</v>
      </c>
    </row>
    <row r="141" spans="2:22" s="29" customFormat="1" ht="18" customHeight="1" x14ac:dyDescent="0.25">
      <c r="B141" s="13"/>
      <c r="C141" s="39"/>
      <c r="D141" s="140"/>
      <c r="E141" s="109" t="s">
        <v>30</v>
      </c>
      <c r="F141" s="1569" t="s">
        <v>204</v>
      </c>
      <c r="G141" s="1570"/>
      <c r="H141" s="239" t="s">
        <v>205</v>
      </c>
      <c r="I141" s="240" t="s">
        <v>476</v>
      </c>
      <c r="J141" s="643">
        <v>2292620000</v>
      </c>
      <c r="K141" s="643">
        <v>2292620000</v>
      </c>
      <c r="L141" s="896">
        <f t="shared" si="49"/>
        <v>458524000</v>
      </c>
      <c r="M141" s="895">
        <f t="shared" si="52"/>
        <v>687786000</v>
      </c>
      <c r="N141" s="895">
        <f t="shared" si="50"/>
        <v>687786000</v>
      </c>
      <c r="O141" s="237">
        <f t="shared" si="51"/>
        <v>458524000</v>
      </c>
      <c r="P141" s="238"/>
      <c r="Q141" s="241">
        <f t="shared" si="53"/>
        <v>2292620000</v>
      </c>
      <c r="R141" s="526"/>
      <c r="S141" s="496"/>
      <c r="T141" s="396">
        <f t="shared" si="42"/>
        <v>0</v>
      </c>
    </row>
    <row r="142" spans="2:22" s="29" customFormat="1" ht="19.5" customHeight="1" x14ac:dyDescent="0.25">
      <c r="B142" s="13"/>
      <c r="C142" s="39"/>
      <c r="D142" s="140"/>
      <c r="E142" s="109" t="s">
        <v>8</v>
      </c>
      <c r="F142" s="1569" t="s">
        <v>206</v>
      </c>
      <c r="G142" s="1570"/>
      <c r="H142" s="239" t="s">
        <v>207</v>
      </c>
      <c r="I142" s="240" t="s">
        <v>477</v>
      </c>
      <c r="J142" s="643">
        <v>2560360000</v>
      </c>
      <c r="K142" s="643">
        <v>2560360000</v>
      </c>
      <c r="L142" s="896">
        <f t="shared" si="49"/>
        <v>512072000</v>
      </c>
      <c r="M142" s="895">
        <f t="shared" si="52"/>
        <v>768108000</v>
      </c>
      <c r="N142" s="895">
        <f t="shared" si="50"/>
        <v>768108000</v>
      </c>
      <c r="O142" s="237">
        <f t="shared" si="51"/>
        <v>512072000</v>
      </c>
      <c r="P142" s="238"/>
      <c r="Q142" s="241">
        <f t="shared" si="53"/>
        <v>2560360000</v>
      </c>
      <c r="R142" s="526"/>
      <c r="S142" s="496"/>
      <c r="T142" s="396">
        <f t="shared" si="42"/>
        <v>0</v>
      </c>
    </row>
    <row r="143" spans="2:22" s="29" customFormat="1" ht="31.5" customHeight="1" x14ac:dyDescent="0.25">
      <c r="B143" s="13"/>
      <c r="C143" s="39"/>
      <c r="D143" s="140"/>
      <c r="E143" s="109" t="s">
        <v>22</v>
      </c>
      <c r="F143" s="1569" t="s">
        <v>208</v>
      </c>
      <c r="G143" s="1570"/>
      <c r="H143" s="239" t="s">
        <v>209</v>
      </c>
      <c r="I143" s="240" t="s">
        <v>478</v>
      </c>
      <c r="J143" s="643">
        <v>3006520000</v>
      </c>
      <c r="K143" s="643">
        <v>3006520000</v>
      </c>
      <c r="L143" s="896">
        <f t="shared" si="49"/>
        <v>601304000</v>
      </c>
      <c r="M143" s="895">
        <f t="shared" si="52"/>
        <v>901956000</v>
      </c>
      <c r="N143" s="895">
        <f t="shared" si="50"/>
        <v>901956000</v>
      </c>
      <c r="O143" s="237">
        <f t="shared" si="51"/>
        <v>601304000</v>
      </c>
      <c r="P143" s="238"/>
      <c r="Q143" s="241">
        <f t="shared" si="53"/>
        <v>3006520000</v>
      </c>
      <c r="R143" s="526"/>
      <c r="S143" s="496"/>
      <c r="T143" s="396">
        <f t="shared" si="42"/>
        <v>0</v>
      </c>
    </row>
    <row r="144" spans="2:22" s="29" customFormat="1" ht="21" customHeight="1" x14ac:dyDescent="0.25">
      <c r="B144" s="13"/>
      <c r="C144" s="39"/>
      <c r="D144" s="140"/>
      <c r="E144" s="109" t="s">
        <v>210</v>
      </c>
      <c r="F144" s="1569" t="s">
        <v>211</v>
      </c>
      <c r="G144" s="1570"/>
      <c r="H144" s="239" t="s">
        <v>212</v>
      </c>
      <c r="I144" s="240" t="s">
        <v>473</v>
      </c>
      <c r="J144" s="643">
        <v>1980000000</v>
      </c>
      <c r="K144" s="643">
        <v>1980000000</v>
      </c>
      <c r="L144" s="896">
        <f t="shared" si="49"/>
        <v>396000000</v>
      </c>
      <c r="M144" s="895">
        <f t="shared" si="52"/>
        <v>594000000</v>
      </c>
      <c r="N144" s="895">
        <f t="shared" si="50"/>
        <v>594000000</v>
      </c>
      <c r="O144" s="237">
        <f t="shared" si="51"/>
        <v>396000000</v>
      </c>
      <c r="P144" s="238"/>
      <c r="Q144" s="241">
        <f t="shared" si="53"/>
        <v>1980000000</v>
      </c>
      <c r="R144" s="526"/>
      <c r="S144" s="496"/>
      <c r="T144" s="396">
        <f t="shared" si="42"/>
        <v>0</v>
      </c>
    </row>
    <row r="145" spans="2:22" s="29" customFormat="1" ht="27.75" customHeight="1" x14ac:dyDescent="0.25">
      <c r="B145" s="13"/>
      <c r="C145" s="39"/>
      <c r="D145" s="140"/>
      <c r="E145" s="109">
        <v>11</v>
      </c>
      <c r="F145" s="1569" t="s">
        <v>213</v>
      </c>
      <c r="G145" s="1570"/>
      <c r="H145" s="239" t="s">
        <v>214</v>
      </c>
      <c r="I145" s="240" t="s">
        <v>479</v>
      </c>
      <c r="J145" s="643">
        <f>SUM(J146:J147)</f>
        <v>2022480000</v>
      </c>
      <c r="K145" s="643">
        <f>SUM(K146:K147)</f>
        <v>2022480000</v>
      </c>
      <c r="L145" s="896">
        <f t="shared" si="49"/>
        <v>404496000</v>
      </c>
      <c r="M145" s="895">
        <f t="shared" si="52"/>
        <v>606744000</v>
      </c>
      <c r="N145" s="895">
        <f t="shared" si="50"/>
        <v>606744000</v>
      </c>
      <c r="O145" s="237">
        <f t="shared" si="51"/>
        <v>404496000</v>
      </c>
      <c r="P145" s="238"/>
      <c r="Q145" s="241">
        <f t="shared" si="53"/>
        <v>2022480000</v>
      </c>
      <c r="R145" s="526"/>
      <c r="S145" s="496"/>
      <c r="T145" s="396">
        <f t="shared" si="42"/>
        <v>0</v>
      </c>
    </row>
    <row r="146" spans="2:22" s="113" customFormat="1" ht="25.5" hidden="1" customHeight="1" x14ac:dyDescent="0.2">
      <c r="B146" s="262"/>
      <c r="C146" s="263"/>
      <c r="D146" s="156"/>
      <c r="E146" s="157"/>
      <c r="F146" s="264" t="s">
        <v>46</v>
      </c>
      <c r="G146" s="265" t="s">
        <v>213</v>
      </c>
      <c r="H146" s="132"/>
      <c r="I146" s="266"/>
      <c r="J146" s="635">
        <v>1272480000</v>
      </c>
      <c r="K146" s="635">
        <v>1272480000</v>
      </c>
      <c r="L146" s="890">
        <f t="shared" si="49"/>
        <v>254496000</v>
      </c>
      <c r="M146" s="895">
        <f t="shared" si="52"/>
        <v>381744000</v>
      </c>
      <c r="N146" s="895">
        <f t="shared" si="50"/>
        <v>381744000</v>
      </c>
      <c r="O146" s="237">
        <f t="shared" si="51"/>
        <v>254496000</v>
      </c>
      <c r="P146" s="178"/>
      <c r="Q146" s="177">
        <f t="shared" si="53"/>
        <v>1272480000</v>
      </c>
      <c r="R146" s="527"/>
      <c r="S146" s="178"/>
      <c r="T146" s="926">
        <f t="shared" si="42"/>
        <v>0</v>
      </c>
    </row>
    <row r="147" spans="2:22" s="113" customFormat="1" ht="14.25" hidden="1" customHeight="1" x14ac:dyDescent="0.2">
      <c r="B147" s="262"/>
      <c r="C147" s="263"/>
      <c r="D147" s="156"/>
      <c r="E147" s="157"/>
      <c r="F147" s="264" t="s">
        <v>46</v>
      </c>
      <c r="G147" s="265" t="s">
        <v>486</v>
      </c>
      <c r="H147" s="132"/>
      <c r="I147" s="266"/>
      <c r="J147" s="635">
        <v>750000000</v>
      </c>
      <c r="K147" s="635">
        <f>250000000+500000000</f>
        <v>750000000</v>
      </c>
      <c r="L147" s="890">
        <f t="shared" si="49"/>
        <v>150000000</v>
      </c>
      <c r="M147" s="895">
        <f t="shared" si="52"/>
        <v>225000000</v>
      </c>
      <c r="N147" s="895">
        <f t="shared" si="50"/>
        <v>225000000</v>
      </c>
      <c r="O147" s="237">
        <f t="shared" si="51"/>
        <v>150000000</v>
      </c>
      <c r="P147" s="178"/>
      <c r="Q147" s="177">
        <f t="shared" si="53"/>
        <v>750000000</v>
      </c>
      <c r="R147" s="527"/>
      <c r="S147" s="178"/>
      <c r="T147" s="926">
        <f t="shared" si="42"/>
        <v>0</v>
      </c>
    </row>
    <row r="148" spans="2:22" s="29" customFormat="1" ht="20.25" customHeight="1" x14ac:dyDescent="0.25">
      <c r="B148" s="13"/>
      <c r="C148" s="39"/>
      <c r="D148" s="140"/>
      <c r="E148" s="109">
        <v>12</v>
      </c>
      <c r="F148" s="1569" t="s">
        <v>215</v>
      </c>
      <c r="G148" s="1570"/>
      <c r="H148" s="239" t="s">
        <v>216</v>
      </c>
      <c r="I148" s="240" t="s">
        <v>217</v>
      </c>
      <c r="J148" s="643">
        <f>500000000+300000000</f>
        <v>800000000</v>
      </c>
      <c r="K148" s="643">
        <f>500000000+300000000</f>
        <v>800000000</v>
      </c>
      <c r="L148" s="896">
        <f t="shared" si="49"/>
        <v>160000000</v>
      </c>
      <c r="M148" s="895">
        <f t="shared" si="52"/>
        <v>240000000</v>
      </c>
      <c r="N148" s="895">
        <f t="shared" si="50"/>
        <v>240000000</v>
      </c>
      <c r="O148" s="237">
        <f t="shared" si="51"/>
        <v>160000000</v>
      </c>
      <c r="P148" s="238"/>
      <c r="Q148" s="241">
        <f t="shared" si="53"/>
        <v>800000000</v>
      </c>
      <c r="R148" s="526"/>
      <c r="S148" s="496"/>
      <c r="T148" s="396">
        <f t="shared" si="42"/>
        <v>0</v>
      </c>
    </row>
    <row r="149" spans="2:22" s="62" customFormat="1" ht="19.5" customHeight="1" x14ac:dyDescent="0.25">
      <c r="B149" s="59"/>
      <c r="C149" s="39"/>
      <c r="D149" s="140"/>
      <c r="E149" s="140">
        <v>13</v>
      </c>
      <c r="F149" s="1716" t="s">
        <v>218</v>
      </c>
      <c r="G149" s="1717"/>
      <c r="H149" s="763" t="s">
        <v>219</v>
      </c>
      <c r="I149" s="764" t="s">
        <v>393</v>
      </c>
      <c r="J149" s="643">
        <v>4000000000</v>
      </c>
      <c r="K149" s="643">
        <v>4000000000</v>
      </c>
      <c r="L149" s="896">
        <f t="shared" si="49"/>
        <v>800000000</v>
      </c>
      <c r="M149" s="895">
        <f t="shared" si="52"/>
        <v>1200000000</v>
      </c>
      <c r="N149" s="895">
        <f t="shared" si="50"/>
        <v>1200000000</v>
      </c>
      <c r="O149" s="237">
        <f t="shared" si="51"/>
        <v>800000000</v>
      </c>
      <c r="P149" s="238"/>
      <c r="Q149" s="241">
        <f t="shared" si="53"/>
        <v>4000000000</v>
      </c>
      <c r="R149" s="762"/>
      <c r="S149" s="496"/>
      <c r="T149" s="731">
        <f t="shared" si="42"/>
        <v>0</v>
      </c>
    </row>
    <row r="150" spans="2:22" s="62" customFormat="1" ht="24" customHeight="1" x14ac:dyDescent="0.25">
      <c r="B150" s="59"/>
      <c r="C150" s="39"/>
      <c r="D150" s="140"/>
      <c r="E150" s="759">
        <v>14</v>
      </c>
      <c r="F150" s="1714" t="s">
        <v>229</v>
      </c>
      <c r="G150" s="1715"/>
      <c r="H150" s="760" t="s">
        <v>230</v>
      </c>
      <c r="I150" s="761" t="s">
        <v>111</v>
      </c>
      <c r="J150" s="647">
        <f>2000000000-300000000</f>
        <v>1700000000</v>
      </c>
      <c r="K150" s="647">
        <v>0</v>
      </c>
      <c r="L150" s="899">
        <f t="shared" si="49"/>
        <v>0</v>
      </c>
      <c r="M150" s="899">
        <f t="shared" ref="M150:M154" si="54">K150*$W$9</f>
        <v>0</v>
      </c>
      <c r="N150" s="899">
        <f t="shared" ref="N150:N154" si="55">K150*$X$9</f>
        <v>0</v>
      </c>
      <c r="O150" s="274">
        <f t="shared" ref="O150:O154" si="56">K150*$Y$9</f>
        <v>0</v>
      </c>
      <c r="P150" s="238"/>
      <c r="Q150" s="274">
        <f t="shared" si="53"/>
        <v>0</v>
      </c>
      <c r="R150" s="762"/>
      <c r="S150" s="496"/>
      <c r="T150" s="731">
        <f t="shared" si="42"/>
        <v>0</v>
      </c>
    </row>
    <row r="151" spans="2:22" s="62" customFormat="1" ht="16.5" customHeight="1" x14ac:dyDescent="0.25">
      <c r="B151" s="59"/>
      <c r="C151" s="39"/>
      <c r="D151" s="140"/>
      <c r="E151" s="759">
        <v>15</v>
      </c>
      <c r="F151" s="1716" t="s">
        <v>225</v>
      </c>
      <c r="G151" s="1717"/>
      <c r="H151" s="760" t="s">
        <v>226</v>
      </c>
      <c r="I151" s="761" t="s">
        <v>480</v>
      </c>
      <c r="J151" s="647">
        <f>11000000000</f>
        <v>11000000000</v>
      </c>
      <c r="K151" s="647">
        <f>11000000000</f>
        <v>11000000000</v>
      </c>
      <c r="L151" s="899">
        <f t="shared" si="49"/>
        <v>2200000000</v>
      </c>
      <c r="M151" s="899">
        <f t="shared" si="54"/>
        <v>4400000000</v>
      </c>
      <c r="N151" s="899">
        <f t="shared" si="55"/>
        <v>4400000000</v>
      </c>
      <c r="O151" s="274">
        <f t="shared" si="56"/>
        <v>0</v>
      </c>
      <c r="P151" s="238"/>
      <c r="Q151" s="274">
        <f t="shared" si="53"/>
        <v>11000000000</v>
      </c>
      <c r="R151" s="762"/>
      <c r="S151" s="496"/>
      <c r="T151" s="731">
        <f t="shared" si="42"/>
        <v>0</v>
      </c>
    </row>
    <row r="152" spans="2:22" s="62" customFormat="1" ht="16.5" customHeight="1" x14ac:dyDescent="0.25">
      <c r="B152" s="59"/>
      <c r="C152" s="39"/>
      <c r="D152" s="140"/>
      <c r="E152" s="759">
        <v>16</v>
      </c>
      <c r="F152" s="1716" t="s">
        <v>227</v>
      </c>
      <c r="G152" s="1717"/>
      <c r="H152" s="760" t="s">
        <v>228</v>
      </c>
      <c r="I152" s="761" t="s">
        <v>480</v>
      </c>
      <c r="J152" s="647">
        <f>11000000000</f>
        <v>11000000000</v>
      </c>
      <c r="K152" s="647">
        <f>11000000000</f>
        <v>11000000000</v>
      </c>
      <c r="L152" s="899">
        <f t="shared" si="49"/>
        <v>2200000000</v>
      </c>
      <c r="M152" s="899">
        <f t="shared" si="54"/>
        <v>4400000000</v>
      </c>
      <c r="N152" s="899">
        <f t="shared" si="55"/>
        <v>4400000000</v>
      </c>
      <c r="O152" s="274">
        <f t="shared" si="56"/>
        <v>0</v>
      </c>
      <c r="P152" s="238"/>
      <c r="Q152" s="274">
        <f t="shared" si="53"/>
        <v>11000000000</v>
      </c>
      <c r="R152" s="762"/>
      <c r="S152" s="496"/>
      <c r="T152" s="731">
        <f t="shared" ref="T152:T215" si="57">Q152-K152</f>
        <v>0</v>
      </c>
      <c r="U152" s="731">
        <v>1750000000</v>
      </c>
      <c r="V152" s="62" t="e">
        <f>#REF!/U152</f>
        <v>#REF!</v>
      </c>
    </row>
    <row r="153" spans="2:22" s="62" customFormat="1" ht="39" customHeight="1" x14ac:dyDescent="0.25">
      <c r="B153" s="59"/>
      <c r="C153" s="39"/>
      <c r="D153" s="140"/>
      <c r="E153" s="759">
        <v>17</v>
      </c>
      <c r="F153" s="1716" t="s">
        <v>223</v>
      </c>
      <c r="G153" s="1717"/>
      <c r="H153" s="760" t="s">
        <v>415</v>
      </c>
      <c r="I153" s="939" t="s">
        <v>224</v>
      </c>
      <c r="J153" s="647">
        <v>4000000000</v>
      </c>
      <c r="K153" s="647">
        <v>4000000000</v>
      </c>
      <c r="L153" s="899">
        <f t="shared" si="49"/>
        <v>800000000</v>
      </c>
      <c r="M153" s="899">
        <f t="shared" si="54"/>
        <v>1600000000</v>
      </c>
      <c r="N153" s="899">
        <f t="shared" si="55"/>
        <v>1600000000</v>
      </c>
      <c r="O153" s="274">
        <f t="shared" si="56"/>
        <v>0</v>
      </c>
      <c r="P153" s="238"/>
      <c r="Q153" s="274">
        <f t="shared" si="53"/>
        <v>4000000000</v>
      </c>
      <c r="R153" s="940"/>
      <c r="S153" s="496"/>
      <c r="T153" s="731">
        <f t="shared" si="57"/>
        <v>0</v>
      </c>
    </row>
    <row r="154" spans="2:22" s="62" customFormat="1" ht="30" customHeight="1" x14ac:dyDescent="0.25">
      <c r="B154" s="59"/>
      <c r="C154" s="39"/>
      <c r="D154" s="140"/>
      <c r="E154" s="140">
        <v>18</v>
      </c>
      <c r="F154" s="1716" t="s">
        <v>220</v>
      </c>
      <c r="G154" s="1717"/>
      <c r="H154" s="763" t="s">
        <v>221</v>
      </c>
      <c r="I154" s="764" t="s">
        <v>222</v>
      </c>
      <c r="J154" s="643">
        <v>1500000000</v>
      </c>
      <c r="K154" s="643">
        <v>0</v>
      </c>
      <c r="L154" s="896">
        <f t="shared" si="49"/>
        <v>0</v>
      </c>
      <c r="M154" s="896">
        <f t="shared" si="54"/>
        <v>0</v>
      </c>
      <c r="N154" s="896">
        <f t="shared" si="55"/>
        <v>0</v>
      </c>
      <c r="O154" s="241">
        <f t="shared" si="56"/>
        <v>0</v>
      </c>
      <c r="P154" s="238"/>
      <c r="Q154" s="241">
        <f t="shared" si="53"/>
        <v>0</v>
      </c>
      <c r="R154" s="762"/>
      <c r="S154" s="496"/>
      <c r="T154" s="731">
        <f t="shared" si="57"/>
        <v>0</v>
      </c>
    </row>
    <row r="155" spans="2:22" ht="4.5" customHeight="1" x14ac:dyDescent="0.25">
      <c r="C155" s="275"/>
      <c r="D155" s="276"/>
      <c r="E155" s="276"/>
      <c r="F155" s="1540"/>
      <c r="G155" s="1541"/>
      <c r="H155" s="279"/>
      <c r="I155" s="280"/>
      <c r="J155" s="648"/>
      <c r="K155" s="648"/>
      <c r="L155" s="900"/>
      <c r="M155" s="900"/>
      <c r="N155" s="900"/>
      <c r="O155" s="281"/>
      <c r="P155" s="101"/>
      <c r="Q155" s="281">
        <f t="shared" si="53"/>
        <v>0</v>
      </c>
      <c r="R155" s="528"/>
      <c r="S155" s="491"/>
      <c r="T155" s="924">
        <f t="shared" si="57"/>
        <v>0</v>
      </c>
    </row>
    <row r="156" spans="2:22" s="15" customFormat="1" ht="32.25" customHeight="1" x14ac:dyDescent="0.25">
      <c r="B156" s="13"/>
      <c r="C156" s="1501" t="s">
        <v>453</v>
      </c>
      <c r="D156" s="1502"/>
      <c r="E156" s="1558" t="s">
        <v>231</v>
      </c>
      <c r="F156" s="1559"/>
      <c r="G156" s="1560"/>
      <c r="H156" s="231" t="s">
        <v>232</v>
      </c>
      <c r="I156" s="282"/>
      <c r="J156" s="649">
        <f t="shared" ref="J156:O156" si="58">J158+J157+J159</f>
        <v>1850000000</v>
      </c>
      <c r="K156" s="649">
        <f t="shared" si="58"/>
        <v>1850000000</v>
      </c>
      <c r="L156" s="901">
        <f t="shared" si="58"/>
        <v>370000000</v>
      </c>
      <c r="M156" s="901">
        <f t="shared" si="58"/>
        <v>710000000</v>
      </c>
      <c r="N156" s="901">
        <f t="shared" si="58"/>
        <v>710000000</v>
      </c>
      <c r="O156" s="283">
        <f t="shared" si="58"/>
        <v>60000000</v>
      </c>
      <c r="P156" s="104"/>
      <c r="Q156" s="283">
        <f t="shared" si="53"/>
        <v>1850000000</v>
      </c>
      <c r="R156" s="529"/>
      <c r="S156" s="14"/>
      <c r="T156" s="396">
        <f t="shared" si="57"/>
        <v>0</v>
      </c>
    </row>
    <row r="157" spans="2:22" s="29" customFormat="1" ht="23.25" customHeight="1" x14ac:dyDescent="0.25">
      <c r="B157" s="13"/>
      <c r="C157" s="39"/>
      <c r="D157" s="140"/>
      <c r="E157" s="109" t="s">
        <v>5</v>
      </c>
      <c r="F157" s="1567" t="s">
        <v>233</v>
      </c>
      <c r="G157" s="1568"/>
      <c r="H157" s="284" t="s">
        <v>234</v>
      </c>
      <c r="I157" s="285">
        <v>1</v>
      </c>
      <c r="J157" s="650">
        <v>1200000000</v>
      </c>
      <c r="K157" s="650">
        <v>1200000000</v>
      </c>
      <c r="L157" s="902">
        <f t="shared" ref="L157:L159" si="59">K157*$V$9</f>
        <v>240000000</v>
      </c>
      <c r="M157" s="902">
        <f t="shared" ref="M157:M158" si="60">K157*$W$9</f>
        <v>480000000</v>
      </c>
      <c r="N157" s="902">
        <f t="shared" ref="N157:N158" si="61">K157*$X$9</f>
        <v>480000000</v>
      </c>
      <c r="O157" s="286">
        <f t="shared" ref="O157:O158" si="62">K157*$Y$9</f>
        <v>0</v>
      </c>
      <c r="P157" s="7"/>
      <c r="Q157" s="286">
        <f t="shared" si="53"/>
        <v>1200000000</v>
      </c>
      <c r="R157" s="530"/>
      <c r="S157" s="484"/>
      <c r="T157" s="396">
        <f t="shared" si="57"/>
        <v>0</v>
      </c>
    </row>
    <row r="158" spans="2:22" s="82" customFormat="1" ht="30" customHeight="1" x14ac:dyDescent="0.25">
      <c r="B158" s="59"/>
      <c r="C158" s="39"/>
      <c r="D158" s="140"/>
      <c r="E158" s="109" t="s">
        <v>10</v>
      </c>
      <c r="F158" s="1565" t="s">
        <v>235</v>
      </c>
      <c r="G158" s="1566"/>
      <c r="H158" s="284" t="s">
        <v>234</v>
      </c>
      <c r="I158" s="285">
        <v>1</v>
      </c>
      <c r="J158" s="650">
        <v>350000000</v>
      </c>
      <c r="K158" s="650">
        <v>350000000</v>
      </c>
      <c r="L158" s="902">
        <f t="shared" si="59"/>
        <v>70000000</v>
      </c>
      <c r="M158" s="902">
        <f t="shared" si="60"/>
        <v>140000000</v>
      </c>
      <c r="N158" s="902">
        <f t="shared" si="61"/>
        <v>140000000</v>
      </c>
      <c r="O158" s="286">
        <f t="shared" si="62"/>
        <v>0</v>
      </c>
      <c r="P158" s="7"/>
      <c r="Q158" s="286">
        <f t="shared" si="53"/>
        <v>350000000</v>
      </c>
      <c r="R158" s="530"/>
      <c r="S158" s="484"/>
      <c r="T158" s="731">
        <f t="shared" si="57"/>
        <v>0</v>
      </c>
    </row>
    <row r="159" spans="2:22" s="29" customFormat="1" ht="27.75" customHeight="1" x14ac:dyDescent="0.25">
      <c r="B159" s="13"/>
      <c r="C159" s="39"/>
      <c r="D159" s="140"/>
      <c r="E159" s="109" t="s">
        <v>13</v>
      </c>
      <c r="F159" s="1550" t="s">
        <v>236</v>
      </c>
      <c r="G159" s="1551"/>
      <c r="H159" s="297" t="s">
        <v>237</v>
      </c>
      <c r="I159" s="477">
        <v>1</v>
      </c>
      <c r="J159" s="650">
        <v>300000000</v>
      </c>
      <c r="K159" s="650">
        <v>300000000</v>
      </c>
      <c r="L159" s="902">
        <f t="shared" si="59"/>
        <v>60000000</v>
      </c>
      <c r="M159" s="902">
        <f>K159*$W$11</f>
        <v>90000000</v>
      </c>
      <c r="N159" s="902">
        <f>K159*$X$11</f>
        <v>90000000</v>
      </c>
      <c r="O159" s="286">
        <f>K159*$Y$11</f>
        <v>60000000</v>
      </c>
      <c r="P159" s="7"/>
      <c r="Q159" s="286">
        <f t="shared" si="53"/>
        <v>300000000</v>
      </c>
      <c r="R159" s="530"/>
      <c r="S159" s="484"/>
      <c r="T159" s="396">
        <f t="shared" si="57"/>
        <v>0</v>
      </c>
    </row>
    <row r="160" spans="2:22" ht="3" customHeight="1" x14ac:dyDescent="0.25">
      <c r="C160" s="275"/>
      <c r="D160" s="276"/>
      <c r="E160" s="276"/>
      <c r="F160" s="1540"/>
      <c r="G160" s="1541"/>
      <c r="H160" s="279"/>
      <c r="I160" s="289"/>
      <c r="J160" s="651"/>
      <c r="K160" s="651"/>
      <c r="L160" s="903"/>
      <c r="M160" s="903"/>
      <c r="N160" s="903"/>
      <c r="O160" s="290"/>
      <c r="Q160" s="290">
        <f t="shared" si="53"/>
        <v>0</v>
      </c>
      <c r="R160" s="531"/>
      <c r="T160" s="924">
        <f t="shared" si="57"/>
        <v>0</v>
      </c>
    </row>
    <row r="161" spans="2:22" s="29" customFormat="1" ht="33.75" customHeight="1" x14ac:dyDescent="0.25">
      <c r="B161" s="13"/>
      <c r="C161" s="1506" t="s">
        <v>454</v>
      </c>
      <c r="D161" s="1507"/>
      <c r="E161" s="1558" t="s">
        <v>238</v>
      </c>
      <c r="F161" s="1559"/>
      <c r="G161" s="1560"/>
      <c r="H161" s="231" t="s">
        <v>239</v>
      </c>
      <c r="I161" s="282"/>
      <c r="J161" s="652">
        <f t="shared" ref="J161:O161" si="63">J162+J167+J163+J165</f>
        <v>7000000000</v>
      </c>
      <c r="K161" s="652">
        <f t="shared" si="63"/>
        <v>7000000000</v>
      </c>
      <c r="L161" s="904">
        <f t="shared" si="63"/>
        <v>1400000000</v>
      </c>
      <c r="M161" s="904">
        <f t="shared" si="63"/>
        <v>2730000000</v>
      </c>
      <c r="N161" s="904">
        <f t="shared" si="63"/>
        <v>2730000000</v>
      </c>
      <c r="O161" s="292">
        <f t="shared" si="63"/>
        <v>140000000</v>
      </c>
      <c r="P161" s="32"/>
      <c r="Q161" s="292">
        <f t="shared" si="53"/>
        <v>7000000000</v>
      </c>
      <c r="R161" s="529"/>
      <c r="S161" s="486"/>
      <c r="T161" s="396">
        <f t="shared" si="57"/>
        <v>0</v>
      </c>
      <c r="V161" s="145"/>
    </row>
    <row r="162" spans="2:22" s="29" customFormat="1" ht="27.75" customHeight="1" x14ac:dyDescent="0.25">
      <c r="B162" s="13"/>
      <c r="C162" s="39"/>
      <c r="D162" s="140"/>
      <c r="E162" s="77" t="s">
        <v>5</v>
      </c>
      <c r="F162" s="1567" t="s">
        <v>240</v>
      </c>
      <c r="G162" s="1568"/>
      <c r="H162" s="293" t="s">
        <v>241</v>
      </c>
      <c r="I162" s="294">
        <v>1</v>
      </c>
      <c r="J162" s="653">
        <v>500000000</v>
      </c>
      <c r="K162" s="653">
        <v>500000000</v>
      </c>
      <c r="L162" s="905">
        <f t="shared" ref="L162:L167" si="64">K162*$V$9</f>
        <v>100000000</v>
      </c>
      <c r="M162" s="905">
        <f>K162*$W$11</f>
        <v>150000000</v>
      </c>
      <c r="N162" s="905">
        <f>K162*$X$11</f>
        <v>150000000</v>
      </c>
      <c r="O162" s="295">
        <f>K162*$Y$11</f>
        <v>100000000</v>
      </c>
      <c r="P162" s="296"/>
      <c r="Q162" s="295">
        <f t="shared" si="53"/>
        <v>500000000</v>
      </c>
      <c r="R162" s="532"/>
      <c r="S162" s="501"/>
      <c r="T162" s="396">
        <f t="shared" si="57"/>
        <v>0</v>
      </c>
      <c r="V162" s="145"/>
    </row>
    <row r="163" spans="2:22" s="29" customFormat="1" ht="23.25" customHeight="1" x14ac:dyDescent="0.25">
      <c r="B163" s="13"/>
      <c r="C163" s="39"/>
      <c r="D163" s="140"/>
      <c r="E163" s="109" t="s">
        <v>10</v>
      </c>
      <c r="F163" s="1556" t="s">
        <v>242</v>
      </c>
      <c r="G163" s="1557"/>
      <c r="H163" s="297" t="s">
        <v>243</v>
      </c>
      <c r="I163" s="298" t="s">
        <v>244</v>
      </c>
      <c r="J163" s="654">
        <f>SUM(J164:J164)</f>
        <v>300000000</v>
      </c>
      <c r="K163" s="654">
        <f>SUM(K164:K164)</f>
        <v>300000000</v>
      </c>
      <c r="L163" s="906">
        <f t="shared" si="64"/>
        <v>60000000</v>
      </c>
      <c r="M163" s="906">
        <f t="shared" ref="M163:M166" si="65">K163*$W$9</f>
        <v>120000000</v>
      </c>
      <c r="N163" s="906">
        <f t="shared" ref="N163:N166" si="66">K163*$X$9</f>
        <v>120000000</v>
      </c>
      <c r="O163" s="299">
        <f t="shared" ref="O163:O166" si="67">K163*$Y$9</f>
        <v>0</v>
      </c>
      <c r="P163" s="296"/>
      <c r="Q163" s="299">
        <f t="shared" si="53"/>
        <v>300000000</v>
      </c>
      <c r="R163" s="533"/>
      <c r="S163" s="501"/>
      <c r="T163" s="396">
        <f t="shared" si="57"/>
        <v>0</v>
      </c>
      <c r="V163" s="145"/>
    </row>
    <row r="164" spans="2:22" s="306" customFormat="1" ht="27" hidden="1" customHeight="1" x14ac:dyDescent="0.25">
      <c r="B164" s="13"/>
      <c r="C164" s="300"/>
      <c r="D164" s="156"/>
      <c r="E164" s="156"/>
      <c r="F164" s="301" t="s">
        <v>46</v>
      </c>
      <c r="G164" s="302" t="s">
        <v>245</v>
      </c>
      <c r="H164" s="303"/>
      <c r="I164" s="1" t="s">
        <v>244</v>
      </c>
      <c r="J164" s="655">
        <v>300000000</v>
      </c>
      <c r="K164" s="655">
        <v>300000000</v>
      </c>
      <c r="L164" s="907">
        <f t="shared" si="64"/>
        <v>60000000</v>
      </c>
      <c r="M164" s="907">
        <f t="shared" si="65"/>
        <v>120000000</v>
      </c>
      <c r="N164" s="907">
        <f t="shared" si="66"/>
        <v>120000000</v>
      </c>
      <c r="O164" s="304">
        <f t="shared" si="67"/>
        <v>0</v>
      </c>
      <c r="P164" s="305"/>
      <c r="Q164" s="304">
        <f t="shared" si="53"/>
        <v>300000000</v>
      </c>
      <c r="R164" s="534"/>
      <c r="S164" s="502"/>
      <c r="T164" s="928">
        <f t="shared" si="57"/>
        <v>0</v>
      </c>
      <c r="V164" s="307"/>
    </row>
    <row r="165" spans="2:22" s="29" customFormat="1" ht="25.5" customHeight="1" x14ac:dyDescent="0.25">
      <c r="B165" s="13"/>
      <c r="C165" s="39"/>
      <c r="D165" s="140"/>
      <c r="E165" s="109" t="s">
        <v>13</v>
      </c>
      <c r="F165" s="1550" t="s">
        <v>246</v>
      </c>
      <c r="G165" s="1551"/>
      <c r="H165" s="297" t="s">
        <v>247</v>
      </c>
      <c r="I165" s="298" t="s">
        <v>465</v>
      </c>
      <c r="J165" s="654">
        <f>SUM(J166:J166)</f>
        <v>6000000000</v>
      </c>
      <c r="K165" s="654">
        <f>SUM(K166:K166)</f>
        <v>6000000000</v>
      </c>
      <c r="L165" s="906">
        <f t="shared" si="64"/>
        <v>1200000000</v>
      </c>
      <c r="M165" s="906">
        <f t="shared" si="65"/>
        <v>2400000000</v>
      </c>
      <c r="N165" s="906">
        <f t="shared" si="66"/>
        <v>2400000000</v>
      </c>
      <c r="O165" s="299">
        <f t="shared" si="67"/>
        <v>0</v>
      </c>
      <c r="P165" s="296"/>
      <c r="Q165" s="299">
        <f t="shared" si="53"/>
        <v>6000000000</v>
      </c>
      <c r="R165" s="533"/>
      <c r="S165" s="501"/>
      <c r="T165" s="396">
        <f t="shared" si="57"/>
        <v>0</v>
      </c>
      <c r="V165" s="145"/>
    </row>
    <row r="166" spans="2:22" s="306" customFormat="1" ht="24.75" hidden="1" customHeight="1" x14ac:dyDescent="0.25">
      <c r="B166" s="13"/>
      <c r="C166" s="300"/>
      <c r="D166" s="156"/>
      <c r="E166" s="156"/>
      <c r="F166" s="301" t="s">
        <v>46</v>
      </c>
      <c r="G166" s="302" t="s">
        <v>249</v>
      </c>
      <c r="H166" s="303"/>
      <c r="I166" s="1" t="s">
        <v>248</v>
      </c>
      <c r="J166" s="655">
        <v>6000000000</v>
      </c>
      <c r="K166" s="655">
        <v>6000000000</v>
      </c>
      <c r="L166" s="907">
        <f t="shared" si="64"/>
        <v>1200000000</v>
      </c>
      <c r="M166" s="907">
        <f t="shared" si="65"/>
        <v>2400000000</v>
      </c>
      <c r="N166" s="907">
        <f t="shared" si="66"/>
        <v>2400000000</v>
      </c>
      <c r="O166" s="304">
        <f t="shared" si="67"/>
        <v>0</v>
      </c>
      <c r="P166" s="305"/>
      <c r="Q166" s="304">
        <f t="shared" si="53"/>
        <v>6000000000</v>
      </c>
      <c r="R166" s="534"/>
      <c r="S166" s="502"/>
      <c r="T166" s="928">
        <f t="shared" si="57"/>
        <v>0</v>
      </c>
      <c r="V166" s="307"/>
    </row>
    <row r="167" spans="2:22" s="29" customFormat="1" ht="21.75" customHeight="1" x14ac:dyDescent="0.25">
      <c r="B167" s="13"/>
      <c r="C167" s="39"/>
      <c r="D167" s="140"/>
      <c r="E167" s="109" t="s">
        <v>16</v>
      </c>
      <c r="F167" s="1556" t="s">
        <v>250</v>
      </c>
      <c r="G167" s="1557"/>
      <c r="H167" s="297" t="s">
        <v>251</v>
      </c>
      <c r="I167" s="294">
        <v>1</v>
      </c>
      <c r="J167" s="654">
        <v>200000000</v>
      </c>
      <c r="K167" s="654">
        <v>200000000</v>
      </c>
      <c r="L167" s="906">
        <f t="shared" si="64"/>
        <v>40000000</v>
      </c>
      <c r="M167" s="906">
        <f>K167*$W$11</f>
        <v>60000000</v>
      </c>
      <c r="N167" s="906">
        <f>K167*$X$11</f>
        <v>60000000</v>
      </c>
      <c r="O167" s="299">
        <f>K167*$Y$11</f>
        <v>40000000</v>
      </c>
      <c r="P167" s="296"/>
      <c r="Q167" s="299">
        <f t="shared" si="53"/>
        <v>200000000</v>
      </c>
      <c r="R167" s="532"/>
      <c r="S167" s="501"/>
      <c r="T167" s="396">
        <f t="shared" si="57"/>
        <v>0</v>
      </c>
      <c r="V167" s="145"/>
    </row>
    <row r="168" spans="2:22" ht="3" customHeight="1" x14ac:dyDescent="0.25">
      <c r="C168" s="275"/>
      <c r="D168" s="276"/>
      <c r="E168" s="276"/>
      <c r="F168" s="310"/>
      <c r="G168" s="287"/>
      <c r="H168" s="288"/>
      <c r="I168" s="311"/>
      <c r="J168" s="656"/>
      <c r="K168" s="656"/>
      <c r="L168" s="908"/>
      <c r="M168" s="908"/>
      <c r="N168" s="908"/>
      <c r="O168" s="312"/>
      <c r="P168" s="308"/>
      <c r="Q168" s="312">
        <f t="shared" si="53"/>
        <v>0</v>
      </c>
      <c r="R168" s="535"/>
      <c r="S168" s="503"/>
      <c r="T168" s="924">
        <f t="shared" si="57"/>
        <v>0</v>
      </c>
      <c r="V168" s="230"/>
    </row>
    <row r="169" spans="2:22" s="15" customFormat="1" ht="34.5" customHeight="1" x14ac:dyDescent="0.25">
      <c r="B169" s="13"/>
      <c r="C169" s="1508" t="s">
        <v>455</v>
      </c>
      <c r="D169" s="1509"/>
      <c r="E169" s="1558" t="s">
        <v>252</v>
      </c>
      <c r="F169" s="1559"/>
      <c r="G169" s="1560"/>
      <c r="H169" s="231" t="s">
        <v>253</v>
      </c>
      <c r="I169" s="282"/>
      <c r="J169" s="649">
        <f t="shared" ref="J169:O169" si="68">J170+J174+J177+J180+J183+J187+J190+J193+J197+J200+J201+J204+J205+J206+J207+J208</f>
        <v>39876082971</v>
      </c>
      <c r="K169" s="649">
        <f t="shared" si="68"/>
        <v>39100000000</v>
      </c>
      <c r="L169" s="901">
        <f t="shared" si="68"/>
        <v>7820000000</v>
      </c>
      <c r="M169" s="901">
        <f t="shared" si="68"/>
        <v>15550000000</v>
      </c>
      <c r="N169" s="901">
        <f t="shared" si="68"/>
        <v>15550000000</v>
      </c>
      <c r="O169" s="283">
        <f t="shared" si="68"/>
        <v>180000000</v>
      </c>
      <c r="P169" s="104"/>
      <c r="Q169" s="283">
        <f t="shared" si="53"/>
        <v>39100000000</v>
      </c>
      <c r="R169" s="529"/>
      <c r="S169" s="14"/>
      <c r="T169" s="396">
        <f t="shared" si="57"/>
        <v>0</v>
      </c>
      <c r="U169" s="21">
        <v>42276082971</v>
      </c>
    </row>
    <row r="170" spans="2:22" s="62" customFormat="1" ht="20.25" customHeight="1" x14ac:dyDescent="0.25">
      <c r="B170" s="59"/>
      <c r="C170" s="313"/>
      <c r="D170" s="314"/>
      <c r="E170" s="315" t="s">
        <v>5</v>
      </c>
      <c r="F170" s="1561" t="s">
        <v>254</v>
      </c>
      <c r="G170" s="1562"/>
      <c r="H170" s="316" t="s">
        <v>255</v>
      </c>
      <c r="I170" s="317"/>
      <c r="J170" s="657">
        <f>SUM(J171:J173)</f>
        <v>10935000000</v>
      </c>
      <c r="K170" s="657">
        <f>SUM(K171:K173)</f>
        <v>10935000000</v>
      </c>
      <c r="L170" s="909">
        <f t="shared" ref="L170:L208" si="69">K170*$V$9</f>
        <v>2187000000</v>
      </c>
      <c r="M170" s="909">
        <f t="shared" ref="M170:M208" si="70">K170*$W$9</f>
        <v>4374000000</v>
      </c>
      <c r="N170" s="909">
        <f t="shared" ref="N170:N208" si="71">K170*$X$9</f>
        <v>4374000000</v>
      </c>
      <c r="O170" s="318">
        <f t="shared" ref="O170:O208" si="72">K170*$Y$9</f>
        <v>0</v>
      </c>
      <c r="P170" s="319"/>
      <c r="Q170" s="318">
        <f t="shared" si="53"/>
        <v>10935000000</v>
      </c>
      <c r="R170" s="541"/>
      <c r="S170" s="504"/>
      <c r="T170" s="731">
        <f t="shared" si="57"/>
        <v>0</v>
      </c>
    </row>
    <row r="171" spans="2:22" s="113" customFormat="1" ht="17.25" hidden="1" customHeight="1" x14ac:dyDescent="0.25">
      <c r="B171" s="59"/>
      <c r="C171" s="320"/>
      <c r="D171" s="321"/>
      <c r="E171" s="322"/>
      <c r="F171" s="64" t="s">
        <v>46</v>
      </c>
      <c r="G171" s="679" t="s">
        <v>256</v>
      </c>
      <c r="H171" s="544" t="s">
        <v>257</v>
      </c>
      <c r="I171" s="324">
        <v>7.0000000000000007E-2</v>
      </c>
      <c r="J171" s="658">
        <f>10000000000+635000000</f>
        <v>10635000000</v>
      </c>
      <c r="K171" s="658">
        <f>10000000000+635000000</f>
        <v>10635000000</v>
      </c>
      <c r="L171" s="910">
        <f t="shared" si="69"/>
        <v>2127000000</v>
      </c>
      <c r="M171" s="910">
        <f t="shared" si="70"/>
        <v>4254000000</v>
      </c>
      <c r="N171" s="910">
        <f t="shared" si="71"/>
        <v>4254000000</v>
      </c>
      <c r="O171" s="325">
        <f t="shared" si="72"/>
        <v>0</v>
      </c>
      <c r="P171" s="67"/>
      <c r="Q171" s="325">
        <f t="shared" si="53"/>
        <v>10635000000</v>
      </c>
      <c r="R171" s="542"/>
      <c r="S171" s="490"/>
      <c r="T171" s="926">
        <f t="shared" si="57"/>
        <v>0</v>
      </c>
    </row>
    <row r="172" spans="2:22" s="113" customFormat="1" ht="24" hidden="1" customHeight="1" x14ac:dyDescent="0.2">
      <c r="B172" s="59"/>
      <c r="C172" s="320"/>
      <c r="D172" s="321"/>
      <c r="E172" s="322"/>
      <c r="F172" s="64" t="s">
        <v>46</v>
      </c>
      <c r="G172" s="679" t="s">
        <v>258</v>
      </c>
      <c r="H172" s="326" t="s">
        <v>259</v>
      </c>
      <c r="I172" s="327">
        <v>1</v>
      </c>
      <c r="J172" s="616">
        <v>300000000</v>
      </c>
      <c r="K172" s="616">
        <v>300000000</v>
      </c>
      <c r="L172" s="871">
        <f t="shared" si="69"/>
        <v>60000000</v>
      </c>
      <c r="M172" s="871">
        <f t="shared" si="70"/>
        <v>120000000</v>
      </c>
      <c r="N172" s="871">
        <f t="shared" si="71"/>
        <v>120000000</v>
      </c>
      <c r="O172" s="66">
        <f t="shared" si="72"/>
        <v>0</v>
      </c>
      <c r="P172" s="67"/>
      <c r="Q172" s="66">
        <f t="shared" si="53"/>
        <v>300000000</v>
      </c>
      <c r="R172" s="514"/>
      <c r="S172" s="490"/>
      <c r="T172" s="926">
        <f t="shared" si="57"/>
        <v>0</v>
      </c>
    </row>
    <row r="173" spans="2:22" s="113" customFormat="1" ht="15.75" hidden="1" customHeight="1" x14ac:dyDescent="0.2">
      <c r="B173" s="59"/>
      <c r="C173" s="320"/>
      <c r="D173" s="321"/>
      <c r="E173" s="322"/>
      <c r="F173" s="64" t="s">
        <v>46</v>
      </c>
      <c r="G173" s="323" t="s">
        <v>260</v>
      </c>
      <c r="H173" s="328" t="s">
        <v>470</v>
      </c>
      <c r="I173" s="327">
        <v>1</v>
      </c>
      <c r="J173" s="658"/>
      <c r="K173" s="658"/>
      <c r="L173" s="910">
        <f t="shared" si="69"/>
        <v>0</v>
      </c>
      <c r="M173" s="910">
        <f t="shared" si="70"/>
        <v>0</v>
      </c>
      <c r="N173" s="910">
        <f t="shared" si="71"/>
        <v>0</v>
      </c>
      <c r="O173" s="325">
        <f t="shared" si="72"/>
        <v>0</v>
      </c>
      <c r="P173" s="67"/>
      <c r="Q173" s="325">
        <f t="shared" si="53"/>
        <v>0</v>
      </c>
      <c r="R173" s="514"/>
      <c r="S173" s="490"/>
      <c r="T173" s="926">
        <f t="shared" si="57"/>
        <v>0</v>
      </c>
    </row>
    <row r="174" spans="2:22" s="62" customFormat="1" ht="28.5" customHeight="1" x14ac:dyDescent="0.25">
      <c r="B174" s="59"/>
      <c r="C174" s="78"/>
      <c r="D174" s="45"/>
      <c r="E174" s="329" t="s">
        <v>10</v>
      </c>
      <c r="F174" s="1563" t="s">
        <v>261</v>
      </c>
      <c r="G174" s="1564"/>
      <c r="H174" s="74" t="s">
        <v>262</v>
      </c>
      <c r="I174" s="330"/>
      <c r="J174" s="659">
        <f>SUM(J175:J176)</f>
        <v>5175000000</v>
      </c>
      <c r="K174" s="659">
        <f>SUM(K175:K176)</f>
        <v>5175000000</v>
      </c>
      <c r="L174" s="911">
        <f t="shared" si="69"/>
        <v>1035000000</v>
      </c>
      <c r="M174" s="911">
        <f t="shared" si="70"/>
        <v>2070000000</v>
      </c>
      <c r="N174" s="911">
        <f t="shared" si="71"/>
        <v>2070000000</v>
      </c>
      <c r="O174" s="331">
        <f t="shared" si="72"/>
        <v>0</v>
      </c>
      <c r="P174" s="319"/>
      <c r="Q174" s="331">
        <f t="shared" si="53"/>
        <v>5175000000</v>
      </c>
      <c r="R174" s="543"/>
      <c r="S174" s="504"/>
      <c r="T174" s="731">
        <f t="shared" si="57"/>
        <v>0</v>
      </c>
    </row>
    <row r="175" spans="2:22" s="113" customFormat="1" ht="15.75" hidden="1" customHeight="1" x14ac:dyDescent="0.2">
      <c r="B175" s="59"/>
      <c r="C175" s="320"/>
      <c r="D175" s="321"/>
      <c r="E175" s="322"/>
      <c r="F175" s="64" t="s">
        <v>46</v>
      </c>
      <c r="G175" s="679" t="s">
        <v>408</v>
      </c>
      <c r="H175" s="326" t="s">
        <v>263</v>
      </c>
      <c r="I175" s="327">
        <v>0.57999999999999996</v>
      </c>
      <c r="J175" s="616">
        <f>5000000000</f>
        <v>5000000000</v>
      </c>
      <c r="K175" s="616">
        <f>5000000000</f>
        <v>5000000000</v>
      </c>
      <c r="L175" s="871">
        <f t="shared" si="69"/>
        <v>1000000000</v>
      </c>
      <c r="M175" s="871">
        <f t="shared" si="70"/>
        <v>2000000000</v>
      </c>
      <c r="N175" s="871">
        <f t="shared" si="71"/>
        <v>2000000000</v>
      </c>
      <c r="O175" s="66">
        <f t="shared" si="72"/>
        <v>0</v>
      </c>
      <c r="P175" s="67"/>
      <c r="Q175" s="66">
        <f t="shared" si="53"/>
        <v>5000000000</v>
      </c>
      <c r="R175" s="514"/>
      <c r="S175" s="490"/>
      <c r="T175" s="926">
        <f t="shared" si="57"/>
        <v>0</v>
      </c>
    </row>
    <row r="176" spans="2:22" s="113" customFormat="1" ht="27.75" hidden="1" customHeight="1" x14ac:dyDescent="0.2">
      <c r="B176" s="59"/>
      <c r="C176" s="320"/>
      <c r="D176" s="321"/>
      <c r="E176" s="322"/>
      <c r="F176" s="838" t="s">
        <v>46</v>
      </c>
      <c r="G176" s="853" t="s">
        <v>407</v>
      </c>
      <c r="H176" s="941" t="s">
        <v>264</v>
      </c>
      <c r="I176" s="942">
        <v>1</v>
      </c>
      <c r="J176" s="616">
        <v>175000000</v>
      </c>
      <c r="K176" s="616">
        <v>175000000</v>
      </c>
      <c r="L176" s="871">
        <f t="shared" si="69"/>
        <v>35000000</v>
      </c>
      <c r="M176" s="871">
        <f t="shared" si="70"/>
        <v>70000000</v>
      </c>
      <c r="N176" s="871">
        <f t="shared" si="71"/>
        <v>70000000</v>
      </c>
      <c r="O176" s="66">
        <f t="shared" si="72"/>
        <v>0</v>
      </c>
      <c r="P176" s="67"/>
      <c r="Q176" s="66">
        <f t="shared" si="53"/>
        <v>175000000</v>
      </c>
      <c r="R176" s="519"/>
      <c r="S176" s="490"/>
      <c r="T176" s="926">
        <f t="shared" si="57"/>
        <v>0</v>
      </c>
    </row>
    <row r="177" spans="2:20" s="62" customFormat="1" ht="27" customHeight="1" x14ac:dyDescent="0.25">
      <c r="B177" s="59"/>
      <c r="C177" s="78"/>
      <c r="D177" s="45"/>
      <c r="E177" s="329" t="s">
        <v>13</v>
      </c>
      <c r="F177" s="1563" t="s">
        <v>265</v>
      </c>
      <c r="G177" s="1564"/>
      <c r="H177" s="74" t="s">
        <v>464</v>
      </c>
      <c r="I177" s="330"/>
      <c r="J177" s="659">
        <f>SUM(J178:J179)</f>
        <v>1000000000</v>
      </c>
      <c r="K177" s="659">
        <f>SUM(K178:K179)</f>
        <v>500000000</v>
      </c>
      <c r="L177" s="911">
        <f t="shared" si="69"/>
        <v>100000000</v>
      </c>
      <c r="M177" s="911">
        <f t="shared" si="70"/>
        <v>200000000</v>
      </c>
      <c r="N177" s="911">
        <f t="shared" si="71"/>
        <v>200000000</v>
      </c>
      <c r="O177" s="331">
        <f t="shared" si="72"/>
        <v>0</v>
      </c>
      <c r="P177" s="319"/>
      <c r="Q177" s="331">
        <f t="shared" si="53"/>
        <v>500000000</v>
      </c>
      <c r="R177" s="543"/>
      <c r="S177" s="504"/>
      <c r="T177" s="731">
        <f t="shared" si="57"/>
        <v>0</v>
      </c>
    </row>
    <row r="178" spans="2:20" s="62" customFormat="1" ht="25.5" hidden="1" customHeight="1" x14ac:dyDescent="0.25">
      <c r="B178" s="59"/>
      <c r="C178" s="78"/>
      <c r="D178" s="45"/>
      <c r="E178" s="333"/>
      <c r="F178" s="943" t="s">
        <v>46</v>
      </c>
      <c r="G178" s="853" t="s">
        <v>266</v>
      </c>
      <c r="H178" s="839" t="s">
        <v>267</v>
      </c>
      <c r="I178" s="137">
        <v>1</v>
      </c>
      <c r="J178" s="616">
        <v>500000000</v>
      </c>
      <c r="K178" s="616">
        <v>500000000</v>
      </c>
      <c r="L178" s="871">
        <f t="shared" si="69"/>
        <v>100000000</v>
      </c>
      <c r="M178" s="871">
        <f t="shared" si="70"/>
        <v>200000000</v>
      </c>
      <c r="N178" s="871">
        <f t="shared" si="71"/>
        <v>200000000</v>
      </c>
      <c r="O178" s="66">
        <f t="shared" si="72"/>
        <v>0</v>
      </c>
      <c r="P178" s="67"/>
      <c r="Q178" s="66">
        <f t="shared" si="53"/>
        <v>500000000</v>
      </c>
      <c r="R178" s="519"/>
      <c r="S178" s="490"/>
      <c r="T178" s="731">
        <f t="shared" si="57"/>
        <v>0</v>
      </c>
    </row>
    <row r="179" spans="2:20" s="229" customFormat="1" ht="21" hidden="1" customHeight="1" x14ac:dyDescent="0.25">
      <c r="B179" s="59"/>
      <c r="C179" s="334"/>
      <c r="D179" s="335"/>
      <c r="E179" s="336"/>
      <c r="F179" s="943" t="s">
        <v>46</v>
      </c>
      <c r="G179" s="853" t="s">
        <v>268</v>
      </c>
      <c r="H179" s="839" t="s">
        <v>269</v>
      </c>
      <c r="I179" s="137">
        <v>1</v>
      </c>
      <c r="J179" s="616">
        <v>500000000</v>
      </c>
      <c r="K179" s="616"/>
      <c r="L179" s="871">
        <f t="shared" si="69"/>
        <v>0</v>
      </c>
      <c r="M179" s="871">
        <f t="shared" si="70"/>
        <v>0</v>
      </c>
      <c r="N179" s="871">
        <f t="shared" si="71"/>
        <v>0</v>
      </c>
      <c r="O179" s="66">
        <f t="shared" si="72"/>
        <v>0</v>
      </c>
      <c r="P179" s="67"/>
      <c r="Q179" s="66">
        <f t="shared" si="53"/>
        <v>0</v>
      </c>
      <c r="R179" s="519"/>
      <c r="S179" s="490"/>
      <c r="T179" s="925">
        <f t="shared" si="57"/>
        <v>0</v>
      </c>
    </row>
    <row r="180" spans="2:20" s="62" customFormat="1" ht="26.25" customHeight="1" x14ac:dyDescent="0.25">
      <c r="B180" s="59"/>
      <c r="C180" s="944"/>
      <c r="D180" s="140"/>
      <c r="E180" s="140" t="s">
        <v>16</v>
      </c>
      <c r="F180" s="1618" t="s">
        <v>270</v>
      </c>
      <c r="G180" s="1620"/>
      <c r="H180" s="855" t="s">
        <v>271</v>
      </c>
      <c r="I180" s="134"/>
      <c r="J180" s="660">
        <f>J181+J182</f>
        <v>1045000000</v>
      </c>
      <c r="K180" s="660">
        <f>K181+K182</f>
        <v>1545000000</v>
      </c>
      <c r="L180" s="870">
        <f t="shared" si="69"/>
        <v>309000000</v>
      </c>
      <c r="M180" s="870">
        <f t="shared" si="70"/>
        <v>618000000</v>
      </c>
      <c r="N180" s="870">
        <f t="shared" si="71"/>
        <v>618000000</v>
      </c>
      <c r="O180" s="60">
        <f t="shared" si="72"/>
        <v>0</v>
      </c>
      <c r="P180" s="61"/>
      <c r="Q180" s="60">
        <f t="shared" si="53"/>
        <v>1545000000</v>
      </c>
      <c r="R180" s="518"/>
      <c r="S180" s="489"/>
      <c r="T180" s="731">
        <f t="shared" si="57"/>
        <v>0</v>
      </c>
    </row>
    <row r="181" spans="2:20" s="62" customFormat="1" ht="27" hidden="1" customHeight="1" x14ac:dyDescent="0.25">
      <c r="B181" s="59"/>
      <c r="C181" s="944"/>
      <c r="D181" s="140"/>
      <c r="E181" s="140"/>
      <c r="F181" s="943" t="s">
        <v>46</v>
      </c>
      <c r="G181" s="853" t="s">
        <v>272</v>
      </c>
      <c r="H181" s="839" t="s">
        <v>273</v>
      </c>
      <c r="I181" s="945">
        <v>1</v>
      </c>
      <c r="J181" s="618">
        <v>1000000000</v>
      </c>
      <c r="K181" s="618">
        <f>1000000000+500000000</f>
        <v>1500000000</v>
      </c>
      <c r="L181" s="873">
        <f t="shared" si="69"/>
        <v>300000000</v>
      </c>
      <c r="M181" s="873">
        <f t="shared" si="70"/>
        <v>600000000</v>
      </c>
      <c r="N181" s="873">
        <f t="shared" si="71"/>
        <v>600000000</v>
      </c>
      <c r="O181" s="73">
        <f t="shared" si="72"/>
        <v>0</v>
      </c>
      <c r="P181" s="67"/>
      <c r="Q181" s="73">
        <f t="shared" si="53"/>
        <v>1500000000</v>
      </c>
      <c r="R181" s="946"/>
      <c r="S181" s="490"/>
      <c r="T181" s="731">
        <f t="shared" si="57"/>
        <v>0</v>
      </c>
    </row>
    <row r="182" spans="2:20" s="62" customFormat="1" ht="27" hidden="1" customHeight="1" x14ac:dyDescent="0.25">
      <c r="B182" s="59"/>
      <c r="C182" s="944"/>
      <c r="D182" s="140"/>
      <c r="E182" s="140"/>
      <c r="F182" s="943" t="s">
        <v>46</v>
      </c>
      <c r="G182" s="853" t="s">
        <v>274</v>
      </c>
      <c r="H182" s="839" t="s">
        <v>274</v>
      </c>
      <c r="I182" s="137">
        <v>1</v>
      </c>
      <c r="J182" s="616">
        <v>45000000</v>
      </c>
      <c r="K182" s="616">
        <v>45000000</v>
      </c>
      <c r="L182" s="871">
        <f t="shared" si="69"/>
        <v>9000000</v>
      </c>
      <c r="M182" s="871">
        <f t="shared" si="70"/>
        <v>18000000</v>
      </c>
      <c r="N182" s="871">
        <f t="shared" si="71"/>
        <v>18000000</v>
      </c>
      <c r="O182" s="66">
        <f t="shared" si="72"/>
        <v>0</v>
      </c>
      <c r="P182" s="67"/>
      <c r="Q182" s="66">
        <f t="shared" si="53"/>
        <v>45000000</v>
      </c>
      <c r="R182" s="519"/>
      <c r="S182" s="490"/>
      <c r="T182" s="731">
        <f t="shared" si="57"/>
        <v>0</v>
      </c>
    </row>
    <row r="183" spans="2:20" s="62" customFormat="1" ht="31.5" customHeight="1" x14ac:dyDescent="0.25">
      <c r="B183" s="59"/>
      <c r="C183" s="78"/>
      <c r="D183" s="45"/>
      <c r="E183" s="329" t="s">
        <v>19</v>
      </c>
      <c r="F183" s="1618" t="s">
        <v>275</v>
      </c>
      <c r="G183" s="1620"/>
      <c r="H183" s="855" t="s">
        <v>276</v>
      </c>
      <c r="I183" s="134"/>
      <c r="J183" s="660">
        <f>SUM(J184:J186)</f>
        <v>8750000000</v>
      </c>
      <c r="K183" s="660">
        <f>SUM(K184:K186)</f>
        <v>8750000000</v>
      </c>
      <c r="L183" s="870">
        <f t="shared" si="69"/>
        <v>1750000000</v>
      </c>
      <c r="M183" s="870">
        <f t="shared" si="70"/>
        <v>3500000000</v>
      </c>
      <c r="N183" s="870">
        <f t="shared" si="71"/>
        <v>3500000000</v>
      </c>
      <c r="O183" s="60">
        <f t="shared" si="72"/>
        <v>0</v>
      </c>
      <c r="P183" s="61"/>
      <c r="Q183" s="60">
        <f t="shared" si="53"/>
        <v>8750000000</v>
      </c>
      <c r="R183" s="518"/>
      <c r="S183" s="489"/>
      <c r="T183" s="731">
        <f t="shared" si="57"/>
        <v>0</v>
      </c>
    </row>
    <row r="184" spans="2:20" s="62" customFormat="1" ht="15.75" hidden="1" customHeight="1" x14ac:dyDescent="0.25">
      <c r="B184" s="59"/>
      <c r="C184" s="78"/>
      <c r="D184" s="45"/>
      <c r="E184" s="333"/>
      <c r="F184" s="838" t="s">
        <v>46</v>
      </c>
      <c r="G184" s="853" t="s">
        <v>277</v>
      </c>
      <c r="H184" s="839" t="s">
        <v>278</v>
      </c>
      <c r="I184" s="134">
        <v>1</v>
      </c>
      <c r="J184" s="616">
        <v>8405000000</v>
      </c>
      <c r="K184" s="616">
        <v>8405000000</v>
      </c>
      <c r="L184" s="871">
        <f t="shared" si="69"/>
        <v>1681000000</v>
      </c>
      <c r="M184" s="871">
        <f t="shared" si="70"/>
        <v>3362000000</v>
      </c>
      <c r="N184" s="871">
        <f t="shared" si="71"/>
        <v>3362000000</v>
      </c>
      <c r="O184" s="66">
        <f t="shared" si="72"/>
        <v>0</v>
      </c>
      <c r="P184" s="67"/>
      <c r="Q184" s="66">
        <f t="shared" si="53"/>
        <v>8405000000</v>
      </c>
      <c r="R184" s="518"/>
      <c r="S184" s="490"/>
      <c r="T184" s="731">
        <f t="shared" si="57"/>
        <v>0</v>
      </c>
    </row>
    <row r="185" spans="2:20" s="62" customFormat="1" ht="27" hidden="1" customHeight="1" x14ac:dyDescent="0.2">
      <c r="B185" s="59"/>
      <c r="C185" s="78"/>
      <c r="D185" s="45"/>
      <c r="E185" s="333"/>
      <c r="F185" s="838" t="s">
        <v>46</v>
      </c>
      <c r="G185" s="853" t="s">
        <v>279</v>
      </c>
      <c r="H185" s="947" t="s">
        <v>280</v>
      </c>
      <c r="I185" s="134">
        <v>1</v>
      </c>
      <c r="J185" s="616">
        <v>245000000</v>
      </c>
      <c r="K185" s="616">
        <v>245000000</v>
      </c>
      <c r="L185" s="871">
        <f t="shared" si="69"/>
        <v>49000000</v>
      </c>
      <c r="M185" s="871">
        <f t="shared" si="70"/>
        <v>98000000</v>
      </c>
      <c r="N185" s="871">
        <f t="shared" si="71"/>
        <v>98000000</v>
      </c>
      <c r="O185" s="66">
        <f t="shared" si="72"/>
        <v>0</v>
      </c>
      <c r="P185" s="67"/>
      <c r="Q185" s="66">
        <f t="shared" si="53"/>
        <v>245000000</v>
      </c>
      <c r="R185" s="518"/>
      <c r="S185" s="490"/>
      <c r="T185" s="731">
        <f t="shared" si="57"/>
        <v>0</v>
      </c>
    </row>
    <row r="186" spans="2:20" s="62" customFormat="1" ht="15.75" hidden="1" customHeight="1" x14ac:dyDescent="0.25">
      <c r="B186" s="59"/>
      <c r="C186" s="78"/>
      <c r="D186" s="45"/>
      <c r="E186" s="333"/>
      <c r="F186" s="838" t="s">
        <v>46</v>
      </c>
      <c r="G186" s="853" t="s">
        <v>281</v>
      </c>
      <c r="H186" s="839" t="s">
        <v>282</v>
      </c>
      <c r="I186" s="137">
        <v>1</v>
      </c>
      <c r="J186" s="616">
        <v>100000000</v>
      </c>
      <c r="K186" s="616">
        <v>100000000</v>
      </c>
      <c r="L186" s="871">
        <f t="shared" si="69"/>
        <v>20000000</v>
      </c>
      <c r="M186" s="871">
        <f t="shared" si="70"/>
        <v>40000000</v>
      </c>
      <c r="N186" s="871">
        <f t="shared" si="71"/>
        <v>40000000</v>
      </c>
      <c r="O186" s="66">
        <f t="shared" si="72"/>
        <v>0</v>
      </c>
      <c r="P186" s="67"/>
      <c r="Q186" s="66">
        <f t="shared" si="53"/>
        <v>100000000</v>
      </c>
      <c r="R186" s="519"/>
      <c r="S186" s="490"/>
      <c r="T186" s="731">
        <f t="shared" si="57"/>
        <v>0</v>
      </c>
    </row>
    <row r="187" spans="2:20" s="62" customFormat="1" ht="26.25" customHeight="1" x14ac:dyDescent="0.25">
      <c r="B187" s="59"/>
      <c r="C187" s="944"/>
      <c r="D187" s="140"/>
      <c r="E187" s="140" t="s">
        <v>27</v>
      </c>
      <c r="F187" s="1618" t="s">
        <v>283</v>
      </c>
      <c r="G187" s="1620"/>
      <c r="H187" s="855" t="s">
        <v>284</v>
      </c>
      <c r="I187" s="134"/>
      <c r="J187" s="660">
        <f>J188+J189</f>
        <v>1045000000</v>
      </c>
      <c r="K187" s="660">
        <f>K188+K189</f>
        <v>1045000000</v>
      </c>
      <c r="L187" s="870">
        <f t="shared" si="69"/>
        <v>209000000</v>
      </c>
      <c r="M187" s="870">
        <f t="shared" si="70"/>
        <v>418000000</v>
      </c>
      <c r="N187" s="870">
        <f t="shared" si="71"/>
        <v>418000000</v>
      </c>
      <c r="O187" s="60">
        <f t="shared" si="72"/>
        <v>0</v>
      </c>
      <c r="P187" s="61"/>
      <c r="Q187" s="60">
        <f t="shared" si="53"/>
        <v>1045000000</v>
      </c>
      <c r="R187" s="518"/>
      <c r="S187" s="489"/>
      <c r="T187" s="731">
        <f t="shared" si="57"/>
        <v>0</v>
      </c>
    </row>
    <row r="188" spans="2:20" s="29" customFormat="1" hidden="1" x14ac:dyDescent="0.25">
      <c r="B188" s="13"/>
      <c r="C188" s="87"/>
      <c r="D188" s="109"/>
      <c r="E188" s="109"/>
      <c r="F188" s="64" t="s">
        <v>46</v>
      </c>
      <c r="G188" s="679" t="s">
        <v>285</v>
      </c>
      <c r="H188" s="678" t="s">
        <v>286</v>
      </c>
      <c r="I188" s="436">
        <v>1</v>
      </c>
      <c r="J188" s="618">
        <v>1000000000</v>
      </c>
      <c r="K188" s="618">
        <v>1000000000</v>
      </c>
      <c r="L188" s="873">
        <f t="shared" si="69"/>
        <v>200000000</v>
      </c>
      <c r="M188" s="873">
        <f t="shared" si="70"/>
        <v>400000000</v>
      </c>
      <c r="N188" s="873">
        <f t="shared" si="71"/>
        <v>400000000</v>
      </c>
      <c r="O188" s="73">
        <f t="shared" si="72"/>
        <v>0</v>
      </c>
      <c r="P188" s="67"/>
      <c r="Q188" s="73">
        <f t="shared" si="53"/>
        <v>1000000000</v>
      </c>
      <c r="R188" s="537"/>
      <c r="S188" s="490"/>
      <c r="T188" s="731">
        <f t="shared" si="57"/>
        <v>0</v>
      </c>
    </row>
    <row r="189" spans="2:20" s="29" customFormat="1" ht="29.25" hidden="1" customHeight="1" x14ac:dyDescent="0.25">
      <c r="B189" s="13"/>
      <c r="C189" s="87"/>
      <c r="D189" s="109"/>
      <c r="E189" s="109"/>
      <c r="F189" s="301" t="s">
        <v>46</v>
      </c>
      <c r="G189" s="679" t="s">
        <v>287</v>
      </c>
      <c r="H189" s="678" t="s">
        <v>288</v>
      </c>
      <c r="I189" s="68">
        <v>1</v>
      </c>
      <c r="J189" s="618">
        <v>45000000</v>
      </c>
      <c r="K189" s="618">
        <v>45000000</v>
      </c>
      <c r="L189" s="873">
        <f t="shared" si="69"/>
        <v>9000000</v>
      </c>
      <c r="M189" s="873">
        <f t="shared" si="70"/>
        <v>18000000</v>
      </c>
      <c r="N189" s="873">
        <f t="shared" si="71"/>
        <v>18000000</v>
      </c>
      <c r="O189" s="73">
        <f t="shared" si="72"/>
        <v>0</v>
      </c>
      <c r="P189" s="67"/>
      <c r="Q189" s="73">
        <f t="shared" si="53"/>
        <v>45000000</v>
      </c>
      <c r="R189" s="514"/>
      <c r="S189" s="490"/>
      <c r="T189" s="731">
        <f t="shared" si="57"/>
        <v>0</v>
      </c>
    </row>
    <row r="190" spans="2:20" s="29" customFormat="1" ht="23.25" customHeight="1" x14ac:dyDescent="0.25">
      <c r="B190" s="13"/>
      <c r="C190" s="87"/>
      <c r="D190" s="109"/>
      <c r="E190" s="109" t="s">
        <v>30</v>
      </c>
      <c r="F190" s="1548" t="s">
        <v>289</v>
      </c>
      <c r="G190" s="1549"/>
      <c r="H190" s="433" t="s">
        <v>290</v>
      </c>
      <c r="I190" s="435">
        <v>1</v>
      </c>
      <c r="J190" s="660">
        <f>J191+J192</f>
        <v>3500000000</v>
      </c>
      <c r="K190" s="660">
        <f>K191+K192</f>
        <v>3500000000</v>
      </c>
      <c r="L190" s="870">
        <f t="shared" si="69"/>
        <v>700000000</v>
      </c>
      <c r="M190" s="870">
        <f t="shared" si="70"/>
        <v>1400000000</v>
      </c>
      <c r="N190" s="870">
        <f t="shared" si="71"/>
        <v>1400000000</v>
      </c>
      <c r="O190" s="60">
        <f t="shared" si="72"/>
        <v>0</v>
      </c>
      <c r="P190" s="61"/>
      <c r="Q190" s="60">
        <f t="shared" si="53"/>
        <v>3500000000</v>
      </c>
      <c r="R190" s="536"/>
      <c r="S190" s="489"/>
      <c r="T190" s="731">
        <f t="shared" si="57"/>
        <v>0</v>
      </c>
    </row>
    <row r="191" spans="2:20" s="29" customFormat="1" ht="22.5" hidden="1" customHeight="1" x14ac:dyDescent="0.25">
      <c r="B191" s="13"/>
      <c r="C191" s="54"/>
      <c r="D191" s="55"/>
      <c r="E191" s="55"/>
      <c r="F191" s="301" t="s">
        <v>46</v>
      </c>
      <c r="G191" s="679" t="s">
        <v>292</v>
      </c>
      <c r="H191" s="678" t="s">
        <v>293</v>
      </c>
      <c r="I191" s="437">
        <v>1</v>
      </c>
      <c r="J191" s="618">
        <f>3500000000-125000000</f>
        <v>3375000000</v>
      </c>
      <c r="K191" s="618">
        <f>3500000000-125000000</f>
        <v>3375000000</v>
      </c>
      <c r="L191" s="873">
        <f t="shared" si="69"/>
        <v>675000000</v>
      </c>
      <c r="M191" s="873">
        <f t="shared" si="70"/>
        <v>1350000000</v>
      </c>
      <c r="N191" s="873">
        <f t="shared" si="71"/>
        <v>1350000000</v>
      </c>
      <c r="O191" s="73">
        <f t="shared" si="72"/>
        <v>0</v>
      </c>
      <c r="P191" s="67"/>
      <c r="Q191" s="73">
        <f t="shared" si="53"/>
        <v>3375000000</v>
      </c>
      <c r="R191" s="538"/>
      <c r="S191" s="490"/>
      <c r="T191" s="731">
        <f t="shared" si="57"/>
        <v>0</v>
      </c>
    </row>
    <row r="192" spans="2:20" s="29" customFormat="1" ht="24" hidden="1" customHeight="1" x14ac:dyDescent="0.25">
      <c r="B192" s="13"/>
      <c r="C192" s="87"/>
      <c r="D192" s="109"/>
      <c r="E192" s="109"/>
      <c r="F192" s="301" t="s">
        <v>46</v>
      </c>
      <c r="G192" s="679" t="s">
        <v>294</v>
      </c>
      <c r="H192" s="678" t="s">
        <v>295</v>
      </c>
      <c r="I192" s="68">
        <v>1</v>
      </c>
      <c r="J192" s="616">
        <v>125000000</v>
      </c>
      <c r="K192" s="616">
        <v>125000000</v>
      </c>
      <c r="L192" s="871">
        <f t="shared" si="69"/>
        <v>25000000</v>
      </c>
      <c r="M192" s="871">
        <f t="shared" si="70"/>
        <v>50000000</v>
      </c>
      <c r="N192" s="871">
        <f t="shared" si="71"/>
        <v>50000000</v>
      </c>
      <c r="O192" s="66">
        <f t="shared" si="72"/>
        <v>0</v>
      </c>
      <c r="P192" s="67"/>
      <c r="Q192" s="66">
        <f t="shared" si="53"/>
        <v>125000000</v>
      </c>
      <c r="R192" s="514"/>
      <c r="S192" s="490"/>
      <c r="T192" s="731">
        <f t="shared" si="57"/>
        <v>0</v>
      </c>
    </row>
    <row r="193" spans="2:20" s="29" customFormat="1" ht="23.25" customHeight="1" x14ac:dyDescent="0.25">
      <c r="B193" s="13"/>
      <c r="C193" s="54"/>
      <c r="D193" s="55"/>
      <c r="E193" s="55" t="s">
        <v>8</v>
      </c>
      <c r="F193" s="1548" t="s">
        <v>296</v>
      </c>
      <c r="G193" s="1549"/>
      <c r="H193" s="69" t="s">
        <v>297</v>
      </c>
      <c r="I193" s="70"/>
      <c r="J193" s="617">
        <f>SUM(J194:J196)</f>
        <v>1600000000</v>
      </c>
      <c r="K193" s="617">
        <f>SUM(K194:K196)</f>
        <v>1600000000</v>
      </c>
      <c r="L193" s="872">
        <f t="shared" si="69"/>
        <v>320000000</v>
      </c>
      <c r="M193" s="872">
        <f t="shared" si="70"/>
        <v>640000000</v>
      </c>
      <c r="N193" s="872">
        <f t="shared" si="71"/>
        <v>640000000</v>
      </c>
      <c r="O193" s="71">
        <f t="shared" si="72"/>
        <v>0</v>
      </c>
      <c r="P193" s="61"/>
      <c r="Q193" s="71">
        <f t="shared" si="53"/>
        <v>1600000000</v>
      </c>
      <c r="R193" s="562"/>
      <c r="S193" s="489"/>
      <c r="T193" s="731">
        <f t="shared" si="57"/>
        <v>0</v>
      </c>
    </row>
    <row r="194" spans="2:20" s="29" customFormat="1" ht="27.75" hidden="1" customHeight="1" x14ac:dyDescent="0.25">
      <c r="B194" s="13"/>
      <c r="C194" s="54"/>
      <c r="D194" s="55"/>
      <c r="E194" s="55"/>
      <c r="F194" s="64" t="s">
        <v>46</v>
      </c>
      <c r="G194" s="679" t="s">
        <v>499</v>
      </c>
      <c r="H194" s="678" t="s">
        <v>500</v>
      </c>
      <c r="I194" s="72">
        <v>1</v>
      </c>
      <c r="J194" s="618">
        <v>1490000000</v>
      </c>
      <c r="K194" s="618">
        <v>1490000000</v>
      </c>
      <c r="L194" s="873">
        <f t="shared" si="69"/>
        <v>298000000</v>
      </c>
      <c r="M194" s="873">
        <f t="shared" si="70"/>
        <v>596000000</v>
      </c>
      <c r="N194" s="873">
        <f t="shared" si="71"/>
        <v>596000000</v>
      </c>
      <c r="O194" s="73">
        <f t="shared" si="72"/>
        <v>0</v>
      </c>
      <c r="P194" s="67"/>
      <c r="Q194" s="73">
        <f t="shared" si="53"/>
        <v>1490000000</v>
      </c>
      <c r="R194" s="563"/>
      <c r="S194" s="490"/>
      <c r="T194" s="731">
        <f t="shared" si="57"/>
        <v>0</v>
      </c>
    </row>
    <row r="195" spans="2:20" s="29" customFormat="1" ht="24.75" hidden="1" customHeight="1" x14ac:dyDescent="0.25">
      <c r="B195" s="13"/>
      <c r="C195" s="54"/>
      <c r="D195" s="55"/>
      <c r="E195" s="55"/>
      <c r="F195" s="64" t="s">
        <v>46</v>
      </c>
      <c r="G195" s="679" t="s">
        <v>298</v>
      </c>
      <c r="H195" s="678" t="s">
        <v>299</v>
      </c>
      <c r="I195" s="72">
        <v>1</v>
      </c>
      <c r="J195" s="618">
        <v>50000000</v>
      </c>
      <c r="K195" s="618">
        <v>50000000</v>
      </c>
      <c r="L195" s="873">
        <f t="shared" si="69"/>
        <v>10000000</v>
      </c>
      <c r="M195" s="873">
        <f t="shared" si="70"/>
        <v>20000000</v>
      </c>
      <c r="N195" s="873">
        <f t="shared" si="71"/>
        <v>20000000</v>
      </c>
      <c r="O195" s="73">
        <f t="shared" si="72"/>
        <v>0</v>
      </c>
      <c r="P195" s="67"/>
      <c r="Q195" s="73">
        <f t="shared" si="53"/>
        <v>50000000</v>
      </c>
      <c r="R195" s="563"/>
      <c r="S195" s="490"/>
      <c r="T195" s="731">
        <f t="shared" si="57"/>
        <v>0</v>
      </c>
    </row>
    <row r="196" spans="2:20" s="29" customFormat="1" ht="16.5" hidden="1" customHeight="1" x14ac:dyDescent="0.25">
      <c r="B196" s="13"/>
      <c r="C196" s="54"/>
      <c r="D196" s="55"/>
      <c r="E196" s="55"/>
      <c r="F196" s="64" t="s">
        <v>46</v>
      </c>
      <c r="G196" s="679" t="s">
        <v>300</v>
      </c>
      <c r="H196" s="678" t="s">
        <v>301</v>
      </c>
      <c r="I196" s="72">
        <v>1</v>
      </c>
      <c r="J196" s="618">
        <v>60000000</v>
      </c>
      <c r="K196" s="618">
        <v>60000000</v>
      </c>
      <c r="L196" s="873">
        <f t="shared" si="69"/>
        <v>12000000</v>
      </c>
      <c r="M196" s="873">
        <f t="shared" si="70"/>
        <v>24000000</v>
      </c>
      <c r="N196" s="873">
        <f t="shared" si="71"/>
        <v>24000000</v>
      </c>
      <c r="O196" s="73">
        <f t="shared" si="72"/>
        <v>0</v>
      </c>
      <c r="P196" s="67"/>
      <c r="Q196" s="73">
        <f t="shared" si="53"/>
        <v>60000000</v>
      </c>
      <c r="R196" s="563"/>
      <c r="S196" s="490"/>
      <c r="T196" s="731">
        <f t="shared" si="57"/>
        <v>0</v>
      </c>
    </row>
    <row r="197" spans="2:20" s="349" customFormat="1" ht="23.25" customHeight="1" x14ac:dyDescent="0.25">
      <c r="B197" s="339"/>
      <c r="C197" s="347"/>
      <c r="D197" s="55"/>
      <c r="E197" s="55" t="s">
        <v>22</v>
      </c>
      <c r="F197" s="1550" t="s">
        <v>302</v>
      </c>
      <c r="G197" s="1551"/>
      <c r="H197" s="675" t="s">
        <v>303</v>
      </c>
      <c r="I197" s="439"/>
      <c r="J197" s="617">
        <f>SUM(J198:J199)</f>
        <v>3100000000</v>
      </c>
      <c r="K197" s="617">
        <f>SUM(K198:K199)</f>
        <v>3100000000</v>
      </c>
      <c r="L197" s="872">
        <f t="shared" si="69"/>
        <v>620000000</v>
      </c>
      <c r="M197" s="872">
        <f t="shared" si="70"/>
        <v>1240000000</v>
      </c>
      <c r="N197" s="872">
        <f t="shared" si="71"/>
        <v>1240000000</v>
      </c>
      <c r="O197" s="71">
        <f t="shared" si="72"/>
        <v>0</v>
      </c>
      <c r="P197" s="61"/>
      <c r="Q197" s="71">
        <f t="shared" si="53"/>
        <v>3100000000</v>
      </c>
      <c r="R197" s="564"/>
      <c r="S197" s="489"/>
      <c r="T197" s="929">
        <f t="shared" si="57"/>
        <v>0</v>
      </c>
    </row>
    <row r="198" spans="2:20" s="343" customFormat="1" ht="15" hidden="1" customHeight="1" x14ac:dyDescent="0.25">
      <c r="B198" s="339"/>
      <c r="C198" s="340"/>
      <c r="D198" s="341"/>
      <c r="E198" s="341"/>
      <c r="F198" s="351" t="s">
        <v>46</v>
      </c>
      <c r="G198" s="131" t="s">
        <v>304</v>
      </c>
      <c r="H198" s="342" t="s">
        <v>305</v>
      </c>
      <c r="I198" s="438">
        <v>1</v>
      </c>
      <c r="J198" s="618">
        <v>3000000000</v>
      </c>
      <c r="K198" s="618">
        <v>3000000000</v>
      </c>
      <c r="L198" s="873">
        <f t="shared" si="69"/>
        <v>600000000</v>
      </c>
      <c r="M198" s="873">
        <f t="shared" si="70"/>
        <v>1200000000</v>
      </c>
      <c r="N198" s="873">
        <f t="shared" si="71"/>
        <v>1200000000</v>
      </c>
      <c r="O198" s="73">
        <f t="shared" si="72"/>
        <v>0</v>
      </c>
      <c r="P198" s="67"/>
      <c r="Q198" s="73">
        <f t="shared" si="53"/>
        <v>3000000000</v>
      </c>
      <c r="R198" s="565"/>
      <c r="S198" s="490"/>
      <c r="T198" s="930">
        <f t="shared" si="57"/>
        <v>0</v>
      </c>
    </row>
    <row r="199" spans="2:20" s="770" customFormat="1" ht="12.75" hidden="1" customHeight="1" x14ac:dyDescent="0.25">
      <c r="B199" s="765"/>
      <c r="C199" s="948"/>
      <c r="D199" s="463"/>
      <c r="E199" s="463"/>
      <c r="F199" s="949" t="s">
        <v>46</v>
      </c>
      <c r="G199" s="180" t="s">
        <v>306</v>
      </c>
      <c r="H199" s="950" t="s">
        <v>307</v>
      </c>
      <c r="I199" s="768">
        <v>1</v>
      </c>
      <c r="J199" s="618">
        <v>100000000</v>
      </c>
      <c r="K199" s="618">
        <v>100000000</v>
      </c>
      <c r="L199" s="873">
        <f t="shared" si="69"/>
        <v>20000000</v>
      </c>
      <c r="M199" s="873">
        <f t="shared" si="70"/>
        <v>40000000</v>
      </c>
      <c r="N199" s="873">
        <f t="shared" si="71"/>
        <v>40000000</v>
      </c>
      <c r="O199" s="73">
        <f t="shared" si="72"/>
        <v>0</v>
      </c>
      <c r="P199" s="67"/>
      <c r="Q199" s="73">
        <f t="shared" si="53"/>
        <v>100000000</v>
      </c>
      <c r="R199" s="769"/>
      <c r="S199" s="490"/>
      <c r="T199" s="930">
        <f t="shared" si="57"/>
        <v>0</v>
      </c>
    </row>
    <row r="200" spans="2:20" s="770" customFormat="1" ht="23.25" customHeight="1" x14ac:dyDescent="0.25">
      <c r="B200" s="765"/>
      <c r="C200" s="766"/>
      <c r="D200" s="759"/>
      <c r="E200" s="759" t="s">
        <v>210</v>
      </c>
      <c r="F200" s="1563" t="s">
        <v>308</v>
      </c>
      <c r="G200" s="1564"/>
      <c r="H200" s="767" t="s">
        <v>309</v>
      </c>
      <c r="I200" s="768">
        <v>1</v>
      </c>
      <c r="J200" s="617">
        <f>2500000000-323917029-50000000</f>
        <v>2126082971</v>
      </c>
      <c r="K200" s="617">
        <v>600000000</v>
      </c>
      <c r="L200" s="872">
        <f t="shared" si="69"/>
        <v>120000000</v>
      </c>
      <c r="M200" s="872">
        <f t="shared" si="70"/>
        <v>240000000</v>
      </c>
      <c r="N200" s="872">
        <f t="shared" si="71"/>
        <v>240000000</v>
      </c>
      <c r="O200" s="71">
        <f t="shared" si="72"/>
        <v>0</v>
      </c>
      <c r="P200" s="61"/>
      <c r="Q200" s="71">
        <f t="shared" si="53"/>
        <v>600000000</v>
      </c>
      <c r="R200" s="769"/>
      <c r="S200" s="489"/>
      <c r="T200" s="930">
        <f t="shared" si="57"/>
        <v>0</v>
      </c>
    </row>
    <row r="201" spans="2:20" s="953" customFormat="1" ht="23.25" customHeight="1" x14ac:dyDescent="0.25">
      <c r="B201" s="765"/>
      <c r="C201" s="766"/>
      <c r="D201" s="759"/>
      <c r="E201" s="759">
        <v>11</v>
      </c>
      <c r="F201" s="1563" t="s">
        <v>310</v>
      </c>
      <c r="G201" s="1564"/>
      <c r="H201" s="950" t="s">
        <v>416</v>
      </c>
      <c r="I201" s="951"/>
      <c r="J201" s="617">
        <f>J202+J203</f>
        <v>800000000</v>
      </c>
      <c r="K201" s="617">
        <f>K202+K203</f>
        <v>800000000</v>
      </c>
      <c r="L201" s="872">
        <f t="shared" si="69"/>
        <v>160000000</v>
      </c>
      <c r="M201" s="872">
        <f t="shared" si="70"/>
        <v>320000000</v>
      </c>
      <c r="N201" s="872">
        <f t="shared" si="71"/>
        <v>320000000</v>
      </c>
      <c r="O201" s="71">
        <f t="shared" si="72"/>
        <v>0</v>
      </c>
      <c r="P201" s="61"/>
      <c r="Q201" s="71">
        <f t="shared" si="53"/>
        <v>800000000</v>
      </c>
      <c r="R201" s="952"/>
      <c r="S201" s="489"/>
      <c r="T201" s="931">
        <f t="shared" si="57"/>
        <v>0</v>
      </c>
    </row>
    <row r="202" spans="2:20" s="770" customFormat="1" ht="27" hidden="1" customHeight="1" x14ac:dyDescent="0.25">
      <c r="B202" s="765"/>
      <c r="C202" s="948"/>
      <c r="D202" s="463"/>
      <c r="E202" s="463"/>
      <c r="F202" s="954" t="s">
        <v>46</v>
      </c>
      <c r="G202" s="180" t="s">
        <v>311</v>
      </c>
      <c r="H202" s="950" t="s">
        <v>312</v>
      </c>
      <c r="I202" s="768"/>
      <c r="J202" s="618">
        <v>500000000</v>
      </c>
      <c r="K202" s="618">
        <v>500000000</v>
      </c>
      <c r="L202" s="873">
        <f t="shared" si="69"/>
        <v>100000000</v>
      </c>
      <c r="M202" s="873">
        <f t="shared" si="70"/>
        <v>200000000</v>
      </c>
      <c r="N202" s="873">
        <f t="shared" si="71"/>
        <v>200000000</v>
      </c>
      <c r="O202" s="73">
        <f t="shared" si="72"/>
        <v>0</v>
      </c>
      <c r="P202" s="67"/>
      <c r="Q202" s="73">
        <f t="shared" si="53"/>
        <v>500000000</v>
      </c>
      <c r="R202" s="769"/>
      <c r="S202" s="490"/>
      <c r="T202" s="930">
        <f t="shared" si="57"/>
        <v>0</v>
      </c>
    </row>
    <row r="203" spans="2:20" s="770" customFormat="1" ht="25.5" hidden="1" customHeight="1" x14ac:dyDescent="0.25">
      <c r="B203" s="765"/>
      <c r="C203" s="948"/>
      <c r="D203" s="463"/>
      <c r="E203" s="463"/>
      <c r="F203" s="954" t="s">
        <v>46</v>
      </c>
      <c r="G203" s="180" t="s">
        <v>313</v>
      </c>
      <c r="H203" s="950" t="s">
        <v>314</v>
      </c>
      <c r="I203" s="768"/>
      <c r="J203" s="618">
        <v>300000000</v>
      </c>
      <c r="K203" s="618">
        <v>300000000</v>
      </c>
      <c r="L203" s="873">
        <f t="shared" si="69"/>
        <v>60000000</v>
      </c>
      <c r="M203" s="873">
        <f t="shared" si="70"/>
        <v>120000000</v>
      </c>
      <c r="N203" s="873">
        <f t="shared" si="71"/>
        <v>120000000</v>
      </c>
      <c r="O203" s="73">
        <f t="shared" si="72"/>
        <v>0</v>
      </c>
      <c r="P203" s="67"/>
      <c r="Q203" s="73">
        <f t="shared" si="53"/>
        <v>300000000</v>
      </c>
      <c r="R203" s="769"/>
      <c r="S203" s="490"/>
      <c r="T203" s="930">
        <f t="shared" si="57"/>
        <v>0</v>
      </c>
    </row>
    <row r="204" spans="2:20" s="62" customFormat="1" ht="27" customHeight="1" x14ac:dyDescent="0.25">
      <c r="B204" s="59"/>
      <c r="C204" s="944"/>
      <c r="D204" s="140"/>
      <c r="E204" s="140">
        <v>12</v>
      </c>
      <c r="F204" s="1582" t="s">
        <v>315</v>
      </c>
      <c r="G204" s="1583"/>
      <c r="H204" s="955" t="s">
        <v>316</v>
      </c>
      <c r="I204" s="353">
        <v>1</v>
      </c>
      <c r="J204" s="660">
        <v>200000000</v>
      </c>
      <c r="K204" s="660">
        <v>200000000</v>
      </c>
      <c r="L204" s="870">
        <f t="shared" si="69"/>
        <v>40000000</v>
      </c>
      <c r="M204" s="870">
        <f t="shared" si="70"/>
        <v>80000000</v>
      </c>
      <c r="N204" s="870">
        <f t="shared" si="71"/>
        <v>80000000</v>
      </c>
      <c r="O204" s="60">
        <f t="shared" si="72"/>
        <v>0</v>
      </c>
      <c r="P204" s="61"/>
      <c r="Q204" s="60">
        <f t="shared" ref="Q204:Q249" si="73">L204+M204+O204+N204</f>
        <v>200000000</v>
      </c>
      <c r="R204" s="567"/>
      <c r="S204" s="489"/>
      <c r="T204" s="731">
        <f t="shared" si="57"/>
        <v>0</v>
      </c>
    </row>
    <row r="205" spans="2:20" s="62" customFormat="1" ht="26.25" customHeight="1" x14ac:dyDescent="0.25">
      <c r="B205" s="59"/>
      <c r="C205" s="771"/>
      <c r="D205" s="140"/>
      <c r="E205" s="140">
        <v>13</v>
      </c>
      <c r="F205" s="1712" t="s">
        <v>317</v>
      </c>
      <c r="G205" s="1713"/>
      <c r="H205" s="772" t="s">
        <v>318</v>
      </c>
      <c r="I205" s="773" t="s">
        <v>319</v>
      </c>
      <c r="J205" s="774">
        <v>100000000</v>
      </c>
      <c r="K205" s="774">
        <v>300000000</v>
      </c>
      <c r="L205" s="956">
        <f t="shared" si="69"/>
        <v>60000000</v>
      </c>
      <c r="M205" s="956">
        <f>K205*$W$11</f>
        <v>90000000</v>
      </c>
      <c r="N205" s="956">
        <f>K205*$X$11</f>
        <v>90000000</v>
      </c>
      <c r="O205" s="775">
        <f>K205*$Y$11</f>
        <v>60000000</v>
      </c>
      <c r="P205" s="7"/>
      <c r="Q205" s="775">
        <f t="shared" si="73"/>
        <v>300000000</v>
      </c>
      <c r="R205" s="776"/>
      <c r="S205" s="484"/>
      <c r="T205" s="731">
        <f t="shared" si="57"/>
        <v>0</v>
      </c>
    </row>
    <row r="206" spans="2:20" s="62" customFormat="1" ht="20.25" customHeight="1" x14ac:dyDescent="0.25">
      <c r="B206" s="59"/>
      <c r="C206" s="771"/>
      <c r="D206" s="140"/>
      <c r="E206" s="140">
        <v>14</v>
      </c>
      <c r="F206" s="1582" t="s">
        <v>320</v>
      </c>
      <c r="G206" s="1583"/>
      <c r="H206" s="772" t="s">
        <v>321</v>
      </c>
      <c r="I206" s="773" t="s">
        <v>319</v>
      </c>
      <c r="J206" s="774">
        <v>200000000</v>
      </c>
      <c r="K206" s="774">
        <v>600000000</v>
      </c>
      <c r="L206" s="956">
        <f t="shared" si="69"/>
        <v>120000000</v>
      </c>
      <c r="M206" s="956">
        <f>K206*$W$11</f>
        <v>180000000</v>
      </c>
      <c r="N206" s="956">
        <f>K206*$X$11</f>
        <v>180000000</v>
      </c>
      <c r="O206" s="775">
        <f>K206*$Y$11</f>
        <v>120000000</v>
      </c>
      <c r="P206" s="7"/>
      <c r="Q206" s="775">
        <f t="shared" si="73"/>
        <v>600000000</v>
      </c>
      <c r="R206" s="776"/>
      <c r="S206" s="484"/>
      <c r="T206" s="731">
        <f t="shared" si="57"/>
        <v>0</v>
      </c>
    </row>
    <row r="207" spans="2:20" s="62" customFormat="1" ht="38.25" customHeight="1" x14ac:dyDescent="0.25">
      <c r="B207" s="59"/>
      <c r="C207" s="771"/>
      <c r="D207" s="140"/>
      <c r="E207" s="140">
        <v>15</v>
      </c>
      <c r="F207" s="1712" t="s">
        <v>322</v>
      </c>
      <c r="G207" s="1713"/>
      <c r="H207" s="772" t="s">
        <v>323</v>
      </c>
      <c r="I207" s="777" t="s">
        <v>86</v>
      </c>
      <c r="J207" s="774">
        <v>100000000</v>
      </c>
      <c r="K207" s="774">
        <v>250000000</v>
      </c>
      <c r="L207" s="956">
        <f t="shared" si="69"/>
        <v>50000000</v>
      </c>
      <c r="M207" s="956">
        <f t="shared" si="70"/>
        <v>100000000</v>
      </c>
      <c r="N207" s="956">
        <f t="shared" si="71"/>
        <v>100000000</v>
      </c>
      <c r="O207" s="775">
        <f t="shared" si="72"/>
        <v>0</v>
      </c>
      <c r="P207" s="7"/>
      <c r="Q207" s="775">
        <f t="shared" si="73"/>
        <v>250000000</v>
      </c>
      <c r="R207" s="569"/>
      <c r="S207" s="484"/>
      <c r="T207" s="731">
        <f t="shared" si="57"/>
        <v>0</v>
      </c>
    </row>
    <row r="208" spans="2:20" s="62" customFormat="1" ht="26.25" customHeight="1" x14ac:dyDescent="0.25">
      <c r="B208" s="59"/>
      <c r="C208" s="944"/>
      <c r="D208" s="140"/>
      <c r="E208" s="140">
        <v>16</v>
      </c>
      <c r="F208" s="1582" t="s">
        <v>324</v>
      </c>
      <c r="G208" s="1583"/>
      <c r="H208" s="469" t="s">
        <v>325</v>
      </c>
      <c r="I208" s="353">
        <v>1</v>
      </c>
      <c r="J208" s="660">
        <v>200000000</v>
      </c>
      <c r="K208" s="660">
        <v>200000000</v>
      </c>
      <c r="L208" s="870">
        <f t="shared" si="69"/>
        <v>40000000</v>
      </c>
      <c r="M208" s="870">
        <f t="shared" si="70"/>
        <v>80000000</v>
      </c>
      <c r="N208" s="870">
        <f t="shared" si="71"/>
        <v>80000000</v>
      </c>
      <c r="O208" s="60">
        <f t="shared" si="72"/>
        <v>0</v>
      </c>
      <c r="P208" s="61"/>
      <c r="Q208" s="60">
        <f t="shared" si="73"/>
        <v>200000000</v>
      </c>
      <c r="R208" s="567"/>
      <c r="S208" s="489"/>
      <c r="T208" s="731">
        <f t="shared" si="57"/>
        <v>0</v>
      </c>
    </row>
    <row r="209" spans="2:22" ht="3" customHeight="1" x14ac:dyDescent="0.25">
      <c r="C209" s="95"/>
      <c r="D209" s="96"/>
      <c r="E209" s="96"/>
      <c r="F209" s="1540"/>
      <c r="G209" s="1541"/>
      <c r="H209" s="355"/>
      <c r="I209" s="356"/>
      <c r="J209" s="661"/>
      <c r="K209" s="661"/>
      <c r="L209" s="912"/>
      <c r="M209" s="912"/>
      <c r="N209" s="912"/>
      <c r="O209" s="357"/>
      <c r="P209" s="358"/>
      <c r="Q209" s="357">
        <f t="shared" si="73"/>
        <v>0</v>
      </c>
      <c r="R209" s="570"/>
      <c r="S209" s="505"/>
      <c r="T209" s="924">
        <f t="shared" si="57"/>
        <v>0</v>
      </c>
    </row>
    <row r="210" spans="2:22" s="15" customFormat="1" ht="25.5" customHeight="1" x14ac:dyDescent="0.25">
      <c r="B210" s="13"/>
      <c r="C210" s="1506" t="s">
        <v>456</v>
      </c>
      <c r="D210" s="1507"/>
      <c r="E210" s="1535" t="s">
        <v>326</v>
      </c>
      <c r="F210" s="1536"/>
      <c r="G210" s="1537"/>
      <c r="H210" s="359" t="s">
        <v>327</v>
      </c>
      <c r="I210" s="360"/>
      <c r="J210" s="641">
        <f t="shared" ref="J210:O210" si="74">SUM(J211:J212)</f>
        <v>750000000</v>
      </c>
      <c r="K210" s="641">
        <f t="shared" si="74"/>
        <v>750000000</v>
      </c>
      <c r="L210" s="894">
        <f t="shared" si="74"/>
        <v>150000000</v>
      </c>
      <c r="M210" s="894">
        <f t="shared" si="74"/>
        <v>225000000</v>
      </c>
      <c r="N210" s="894">
        <f t="shared" si="74"/>
        <v>225000000</v>
      </c>
      <c r="O210" s="233">
        <f t="shared" si="74"/>
        <v>150000000</v>
      </c>
      <c r="P210" s="26"/>
      <c r="Q210" s="233">
        <f t="shared" si="73"/>
        <v>750000000</v>
      </c>
      <c r="R210" s="571"/>
      <c r="S210" s="495"/>
      <c r="T210" s="396">
        <f t="shared" si="57"/>
        <v>0</v>
      </c>
    </row>
    <row r="211" spans="2:22" s="29" customFormat="1" ht="18" customHeight="1" x14ac:dyDescent="0.25">
      <c r="B211" s="13"/>
      <c r="C211" s="39"/>
      <c r="D211" s="140"/>
      <c r="E211" s="109" t="s">
        <v>5</v>
      </c>
      <c r="F211" s="1533" t="s">
        <v>329</v>
      </c>
      <c r="G211" s="1534"/>
      <c r="H211" s="141" t="s">
        <v>330</v>
      </c>
      <c r="I211" s="142" t="s">
        <v>328</v>
      </c>
      <c r="J211" s="629">
        <v>400000000</v>
      </c>
      <c r="K211" s="629">
        <v>400000000</v>
      </c>
      <c r="L211" s="884">
        <f t="shared" ref="L211:L212" si="75">K211*$V$9</f>
        <v>80000000</v>
      </c>
      <c r="M211" s="884">
        <f>K211*$W$11</f>
        <v>120000000</v>
      </c>
      <c r="N211" s="884">
        <f>K211*$X$11</f>
        <v>120000000</v>
      </c>
      <c r="O211" s="143">
        <f>K211*$Y$11</f>
        <v>80000000</v>
      </c>
      <c r="P211" s="144"/>
      <c r="Q211" s="143">
        <f t="shared" si="73"/>
        <v>400000000</v>
      </c>
      <c r="R211" s="561"/>
      <c r="S211" s="492"/>
      <c r="T211" s="396">
        <f t="shared" si="57"/>
        <v>0</v>
      </c>
      <c r="V211" s="145"/>
    </row>
    <row r="212" spans="2:22" s="29" customFormat="1" ht="25.5" customHeight="1" x14ac:dyDescent="0.25">
      <c r="B212" s="13"/>
      <c r="C212" s="39"/>
      <c r="D212" s="140"/>
      <c r="E212" s="109" t="s">
        <v>10</v>
      </c>
      <c r="F212" s="1533" t="s">
        <v>331</v>
      </c>
      <c r="G212" s="1534"/>
      <c r="H212" s="141" t="s">
        <v>332</v>
      </c>
      <c r="I212" s="142" t="s">
        <v>319</v>
      </c>
      <c r="J212" s="629">
        <v>350000000</v>
      </c>
      <c r="K212" s="629">
        <v>350000000</v>
      </c>
      <c r="L212" s="884">
        <f t="shared" si="75"/>
        <v>70000000</v>
      </c>
      <c r="M212" s="884">
        <f>K212*$W$11</f>
        <v>105000000</v>
      </c>
      <c r="N212" s="884">
        <f>K212*$X$11</f>
        <v>105000000</v>
      </c>
      <c r="O212" s="143">
        <f>K212*$Y$11</f>
        <v>70000000</v>
      </c>
      <c r="P212" s="144"/>
      <c r="Q212" s="143">
        <f t="shared" si="73"/>
        <v>350000000</v>
      </c>
      <c r="R212" s="561"/>
      <c r="S212" s="492"/>
      <c r="T212" s="396">
        <f t="shared" si="57"/>
        <v>0</v>
      </c>
      <c r="V212" s="145"/>
    </row>
    <row r="213" spans="2:22" ht="5.25" customHeight="1" x14ac:dyDescent="0.25">
      <c r="C213" s="363"/>
      <c r="D213" s="364"/>
      <c r="E213" s="276"/>
      <c r="F213" s="365"/>
      <c r="G213" s="366"/>
      <c r="H213" s="367"/>
      <c r="I213" s="368"/>
      <c r="J213" s="651"/>
      <c r="K213" s="651"/>
      <c r="L213" s="903"/>
      <c r="M213" s="903"/>
      <c r="N213" s="903"/>
      <c r="O213" s="290"/>
      <c r="Q213" s="290">
        <f t="shared" si="73"/>
        <v>0</v>
      </c>
      <c r="R213" s="572"/>
      <c r="T213" s="924">
        <f t="shared" si="57"/>
        <v>0</v>
      </c>
      <c r="V213" s="230"/>
    </row>
    <row r="214" spans="2:22" s="15" customFormat="1" ht="27.75" customHeight="1" x14ac:dyDescent="0.25">
      <c r="B214" s="13"/>
      <c r="C214" s="1506" t="s">
        <v>457</v>
      </c>
      <c r="D214" s="1507"/>
      <c r="E214" s="1535" t="s">
        <v>333</v>
      </c>
      <c r="F214" s="1536"/>
      <c r="G214" s="1537"/>
      <c r="H214" s="359" t="s">
        <v>334</v>
      </c>
      <c r="I214" s="360"/>
      <c r="J214" s="641">
        <f t="shared" ref="J214:O214" si="76">J215+J216</f>
        <v>2200000000</v>
      </c>
      <c r="K214" s="641">
        <f t="shared" si="76"/>
        <v>2976082971</v>
      </c>
      <c r="L214" s="894">
        <f t="shared" si="76"/>
        <v>595216594.20000005</v>
      </c>
      <c r="M214" s="894">
        <f t="shared" si="76"/>
        <v>1190433188.4000001</v>
      </c>
      <c r="N214" s="894">
        <f t="shared" si="76"/>
        <v>1190433188.4000001</v>
      </c>
      <c r="O214" s="233">
        <f t="shared" si="76"/>
        <v>0</v>
      </c>
      <c r="P214" s="26"/>
      <c r="Q214" s="233">
        <f t="shared" si="73"/>
        <v>2976082971</v>
      </c>
      <c r="R214" s="571"/>
      <c r="S214" s="495"/>
      <c r="T214" s="396">
        <f t="shared" si="57"/>
        <v>0</v>
      </c>
    </row>
    <row r="215" spans="2:22" s="62" customFormat="1" ht="21" customHeight="1" x14ac:dyDescent="0.25">
      <c r="B215" s="59"/>
      <c r="C215" s="39"/>
      <c r="D215" s="140"/>
      <c r="E215" s="140" t="s">
        <v>5</v>
      </c>
      <c r="F215" s="1710" t="s">
        <v>335</v>
      </c>
      <c r="G215" s="1711"/>
      <c r="H215" s="676" t="s">
        <v>336</v>
      </c>
      <c r="I215" s="442" t="s">
        <v>109</v>
      </c>
      <c r="J215" s="629">
        <f>2000000000</f>
        <v>2000000000</v>
      </c>
      <c r="K215" s="629">
        <f>2000000000+776082971</f>
        <v>2776082971</v>
      </c>
      <c r="L215" s="884">
        <f t="shared" ref="L215:L216" si="77">K215*$V$9</f>
        <v>555216594.20000005</v>
      </c>
      <c r="M215" s="884">
        <f t="shared" ref="M215:M216" si="78">K215*$W$9</f>
        <v>1110433188.4000001</v>
      </c>
      <c r="N215" s="884">
        <f t="shared" ref="N215:N216" si="79">K215*$X$9</f>
        <v>1110433188.4000001</v>
      </c>
      <c r="O215" s="143">
        <f t="shared" ref="O215:O216" si="80">K215*$Y$9</f>
        <v>0</v>
      </c>
      <c r="P215" s="144"/>
      <c r="Q215" s="143">
        <f t="shared" si="73"/>
        <v>2776082971</v>
      </c>
      <c r="R215" s="957"/>
      <c r="S215" s="492"/>
      <c r="T215" s="731">
        <f t="shared" si="57"/>
        <v>0</v>
      </c>
    </row>
    <row r="216" spans="2:22" s="362" customFormat="1" ht="20.25" customHeight="1" x14ac:dyDescent="0.25">
      <c r="B216" s="13"/>
      <c r="C216" s="39"/>
      <c r="D216" s="140"/>
      <c r="E216" s="109" t="s">
        <v>10</v>
      </c>
      <c r="F216" s="1533" t="s">
        <v>339</v>
      </c>
      <c r="G216" s="1534"/>
      <c r="H216" s="172" t="s">
        <v>340</v>
      </c>
      <c r="I216" s="370" t="s">
        <v>244</v>
      </c>
      <c r="J216" s="662">
        <v>200000000</v>
      </c>
      <c r="K216" s="662">
        <v>200000000</v>
      </c>
      <c r="L216" s="913">
        <f t="shared" si="77"/>
        <v>40000000</v>
      </c>
      <c r="M216" s="913">
        <f t="shared" si="78"/>
        <v>80000000</v>
      </c>
      <c r="N216" s="913">
        <f t="shared" si="79"/>
        <v>80000000</v>
      </c>
      <c r="O216" s="371">
        <f t="shared" si="80"/>
        <v>0</v>
      </c>
      <c r="P216" s="144"/>
      <c r="Q216" s="371">
        <f t="shared" si="73"/>
        <v>200000000</v>
      </c>
      <c r="R216" s="573"/>
      <c r="S216" s="492"/>
      <c r="T216" s="932">
        <f t="shared" ref="T216:T248" si="81">Q216-K216</f>
        <v>0</v>
      </c>
      <c r="V216" s="361"/>
    </row>
    <row r="217" spans="2:22" ht="3.75" customHeight="1" x14ac:dyDescent="0.25">
      <c r="C217" s="363"/>
      <c r="D217" s="364"/>
      <c r="E217" s="276"/>
      <c r="F217" s="365"/>
      <c r="G217" s="366"/>
      <c r="H217" s="367"/>
      <c r="I217" s="368"/>
      <c r="J217" s="651"/>
      <c r="K217" s="651"/>
      <c r="L217" s="903"/>
      <c r="M217" s="903"/>
      <c r="N217" s="903"/>
      <c r="O217" s="290"/>
      <c r="Q217" s="290">
        <f t="shared" si="73"/>
        <v>0</v>
      </c>
      <c r="R217" s="572"/>
      <c r="T217" s="924">
        <f t="shared" si="81"/>
        <v>0</v>
      </c>
      <c r="V217" s="230"/>
    </row>
    <row r="218" spans="2:22" s="15" customFormat="1" ht="28.5" customHeight="1" x14ac:dyDescent="0.25">
      <c r="B218" s="13"/>
      <c r="C218" s="1506" t="s">
        <v>458</v>
      </c>
      <c r="D218" s="1507"/>
      <c r="E218" s="1535" t="s">
        <v>341</v>
      </c>
      <c r="F218" s="1536"/>
      <c r="G218" s="1537"/>
      <c r="H218" s="359" t="s">
        <v>342</v>
      </c>
      <c r="I218" s="360"/>
      <c r="J218" s="641">
        <f t="shared" ref="J218:O218" si="82">SUM(J219:J223)</f>
        <v>1550000000</v>
      </c>
      <c r="K218" s="641">
        <f t="shared" si="82"/>
        <v>1550000000</v>
      </c>
      <c r="L218" s="894">
        <f t="shared" si="82"/>
        <v>310000000</v>
      </c>
      <c r="M218" s="894">
        <f t="shared" si="82"/>
        <v>620000000</v>
      </c>
      <c r="N218" s="894">
        <f t="shared" si="82"/>
        <v>620000000</v>
      </c>
      <c r="O218" s="233">
        <f t="shared" si="82"/>
        <v>0</v>
      </c>
      <c r="P218" s="26"/>
      <c r="Q218" s="233">
        <f t="shared" si="73"/>
        <v>1550000000</v>
      </c>
      <c r="R218" s="571"/>
      <c r="S218" s="495"/>
      <c r="T218" s="396">
        <f t="shared" si="81"/>
        <v>0</v>
      </c>
    </row>
    <row r="219" spans="2:22" s="29" customFormat="1" ht="21" customHeight="1" x14ac:dyDescent="0.25">
      <c r="B219" s="13"/>
      <c r="C219" s="39"/>
      <c r="D219" s="140"/>
      <c r="E219" s="109" t="s">
        <v>5</v>
      </c>
      <c r="F219" s="1533" t="s">
        <v>343</v>
      </c>
      <c r="G219" s="1534"/>
      <c r="H219" s="172" t="s">
        <v>344</v>
      </c>
      <c r="I219" s="370" t="s">
        <v>345</v>
      </c>
      <c r="J219" s="662">
        <v>600000000</v>
      </c>
      <c r="K219" s="662">
        <v>600000000</v>
      </c>
      <c r="L219" s="913">
        <f t="shared" ref="L219:L223" si="83">K219*$V$9</f>
        <v>120000000</v>
      </c>
      <c r="M219" s="913">
        <f t="shared" ref="M219:M223" si="84">K219*$W$9</f>
        <v>240000000</v>
      </c>
      <c r="N219" s="913">
        <f t="shared" ref="N219:N223" si="85">K219*$X$9</f>
        <v>240000000</v>
      </c>
      <c r="O219" s="371">
        <f t="shared" ref="O219:O223" si="86">K219*$Y$9</f>
        <v>0</v>
      </c>
      <c r="P219" s="144"/>
      <c r="Q219" s="371">
        <f t="shared" si="73"/>
        <v>600000000</v>
      </c>
      <c r="R219" s="573"/>
      <c r="S219" s="492"/>
      <c r="T219" s="396">
        <f t="shared" si="81"/>
        <v>0</v>
      </c>
      <c r="V219" s="145"/>
    </row>
    <row r="220" spans="2:22" s="29" customFormat="1" ht="15.75" customHeight="1" x14ac:dyDescent="0.25">
      <c r="B220" s="13"/>
      <c r="C220" s="39"/>
      <c r="D220" s="140"/>
      <c r="E220" s="109" t="s">
        <v>10</v>
      </c>
      <c r="F220" s="1533" t="s">
        <v>346</v>
      </c>
      <c r="G220" s="1534"/>
      <c r="H220" s="369" t="s">
        <v>347</v>
      </c>
      <c r="I220" s="370" t="s">
        <v>348</v>
      </c>
      <c r="J220" s="662">
        <v>400000000</v>
      </c>
      <c r="K220" s="662">
        <v>400000000</v>
      </c>
      <c r="L220" s="913">
        <f t="shared" si="83"/>
        <v>80000000</v>
      </c>
      <c r="M220" s="913">
        <f t="shared" si="84"/>
        <v>160000000</v>
      </c>
      <c r="N220" s="913">
        <f t="shared" si="85"/>
        <v>160000000</v>
      </c>
      <c r="O220" s="371">
        <f t="shared" si="86"/>
        <v>0</v>
      </c>
      <c r="P220" s="144"/>
      <c r="Q220" s="371">
        <f t="shared" si="73"/>
        <v>400000000</v>
      </c>
      <c r="R220" s="573"/>
      <c r="S220" s="492"/>
      <c r="T220" s="396">
        <f t="shared" si="81"/>
        <v>0</v>
      </c>
      <c r="V220" s="145"/>
    </row>
    <row r="221" spans="2:22" s="29" customFormat="1" ht="25.5" customHeight="1" x14ac:dyDescent="0.25">
      <c r="B221" s="13"/>
      <c r="C221" s="39"/>
      <c r="D221" s="140"/>
      <c r="E221" s="109" t="s">
        <v>13</v>
      </c>
      <c r="F221" s="1531" t="s">
        <v>349</v>
      </c>
      <c r="G221" s="1532"/>
      <c r="H221" s="141" t="s">
        <v>350</v>
      </c>
      <c r="I221" s="142" t="s">
        <v>351</v>
      </c>
      <c r="J221" s="663">
        <v>200000000</v>
      </c>
      <c r="K221" s="663">
        <v>200000000</v>
      </c>
      <c r="L221" s="914">
        <f t="shared" si="83"/>
        <v>40000000</v>
      </c>
      <c r="M221" s="914">
        <f t="shared" si="84"/>
        <v>80000000</v>
      </c>
      <c r="N221" s="914">
        <f t="shared" si="85"/>
        <v>80000000</v>
      </c>
      <c r="O221" s="372">
        <f t="shared" si="86"/>
        <v>0</v>
      </c>
      <c r="P221" s="373"/>
      <c r="Q221" s="372">
        <f t="shared" si="73"/>
        <v>200000000</v>
      </c>
      <c r="R221" s="561"/>
      <c r="S221" s="492"/>
      <c r="T221" s="396">
        <f t="shared" si="81"/>
        <v>0</v>
      </c>
    </row>
    <row r="222" spans="2:22" s="29" customFormat="1" ht="26.25" customHeight="1" x14ac:dyDescent="0.25">
      <c r="B222" s="13"/>
      <c r="C222" s="39"/>
      <c r="D222" s="140"/>
      <c r="E222" s="109" t="s">
        <v>16</v>
      </c>
      <c r="F222" s="1533" t="s">
        <v>352</v>
      </c>
      <c r="G222" s="1534"/>
      <c r="H222" s="141" t="s">
        <v>350</v>
      </c>
      <c r="I222" s="142" t="s">
        <v>351</v>
      </c>
      <c r="J222" s="629">
        <v>200000000</v>
      </c>
      <c r="K222" s="629">
        <v>200000000</v>
      </c>
      <c r="L222" s="884">
        <f t="shared" si="83"/>
        <v>40000000</v>
      </c>
      <c r="M222" s="884">
        <f t="shared" si="84"/>
        <v>80000000</v>
      </c>
      <c r="N222" s="884">
        <f t="shared" si="85"/>
        <v>80000000</v>
      </c>
      <c r="O222" s="143">
        <f t="shared" si="86"/>
        <v>0</v>
      </c>
      <c r="P222" s="144"/>
      <c r="Q222" s="143">
        <f t="shared" si="73"/>
        <v>200000000</v>
      </c>
      <c r="R222" s="561"/>
      <c r="S222" s="492"/>
      <c r="T222" s="396">
        <f t="shared" si="81"/>
        <v>0</v>
      </c>
      <c r="V222" s="145"/>
    </row>
    <row r="223" spans="2:22" s="29" customFormat="1" ht="15.75" customHeight="1" x14ac:dyDescent="0.25">
      <c r="B223" s="13"/>
      <c r="C223" s="39"/>
      <c r="D223" s="140"/>
      <c r="E223" s="109" t="s">
        <v>19</v>
      </c>
      <c r="F223" s="1533" t="s">
        <v>353</v>
      </c>
      <c r="G223" s="1534"/>
      <c r="H223" s="141" t="s">
        <v>354</v>
      </c>
      <c r="I223" s="142" t="s">
        <v>92</v>
      </c>
      <c r="J223" s="629">
        <v>150000000</v>
      </c>
      <c r="K223" s="629">
        <v>150000000</v>
      </c>
      <c r="L223" s="884">
        <f t="shared" si="83"/>
        <v>30000000</v>
      </c>
      <c r="M223" s="884">
        <f t="shared" si="84"/>
        <v>60000000</v>
      </c>
      <c r="N223" s="884">
        <f t="shared" si="85"/>
        <v>60000000</v>
      </c>
      <c r="O223" s="143">
        <f t="shared" si="86"/>
        <v>0</v>
      </c>
      <c r="P223" s="144"/>
      <c r="Q223" s="143">
        <f t="shared" si="73"/>
        <v>150000000</v>
      </c>
      <c r="R223" s="561"/>
      <c r="S223" s="492"/>
      <c r="T223" s="396">
        <f t="shared" si="81"/>
        <v>0</v>
      </c>
      <c r="V223" s="145"/>
    </row>
    <row r="224" spans="2:22" s="229" customFormat="1" ht="4.5" customHeight="1" x14ac:dyDescent="0.25">
      <c r="B224" s="59"/>
      <c r="C224" s="374"/>
      <c r="D224" s="375"/>
      <c r="E224" s="375"/>
      <c r="F224" s="1527"/>
      <c r="G224" s="1528"/>
      <c r="H224" s="376"/>
      <c r="I224" s="377"/>
      <c r="J224" s="664"/>
      <c r="K224" s="664"/>
      <c r="L224" s="915"/>
      <c r="M224" s="915"/>
      <c r="N224" s="915"/>
      <c r="O224" s="378"/>
      <c r="P224" s="101"/>
      <c r="Q224" s="378">
        <f t="shared" si="73"/>
        <v>0</v>
      </c>
      <c r="R224" s="574"/>
      <c r="S224" s="491"/>
      <c r="T224" s="925">
        <f t="shared" si="81"/>
        <v>0</v>
      </c>
      <c r="V224" s="309"/>
    </row>
    <row r="225" spans="2:22" s="15" customFormat="1" ht="37.5" customHeight="1" x14ac:dyDescent="0.25">
      <c r="B225" s="13"/>
      <c r="C225" s="1501" t="s">
        <v>459</v>
      </c>
      <c r="D225" s="1502"/>
      <c r="E225" s="1512" t="s">
        <v>355</v>
      </c>
      <c r="F225" s="1513"/>
      <c r="G225" s="1514"/>
      <c r="H225" s="231" t="s">
        <v>356</v>
      </c>
      <c r="I225" s="379"/>
      <c r="J225" s="649">
        <f t="shared" ref="J225:O225" si="87">J226+J229+J231+J234+J235+J236+J238+J239</f>
        <v>5200000000</v>
      </c>
      <c r="K225" s="649">
        <f t="shared" si="87"/>
        <v>5200000000</v>
      </c>
      <c r="L225" s="901">
        <f t="shared" si="87"/>
        <v>1040000000</v>
      </c>
      <c r="M225" s="901">
        <f t="shared" si="87"/>
        <v>2080000000</v>
      </c>
      <c r="N225" s="901">
        <f t="shared" si="87"/>
        <v>2080000000</v>
      </c>
      <c r="O225" s="283">
        <f t="shared" si="87"/>
        <v>0</v>
      </c>
      <c r="P225" s="104"/>
      <c r="Q225" s="283">
        <f t="shared" si="73"/>
        <v>5200000000</v>
      </c>
      <c r="R225" s="575"/>
      <c r="S225" s="14"/>
      <c r="T225" s="396">
        <f t="shared" si="81"/>
        <v>0</v>
      </c>
      <c r="V225" s="145"/>
    </row>
    <row r="226" spans="2:22" s="82" customFormat="1" ht="24.75" customHeight="1" x14ac:dyDescent="0.25">
      <c r="B226" s="59"/>
      <c r="C226" s="49"/>
      <c r="D226" s="79"/>
      <c r="E226" s="140" t="s">
        <v>5</v>
      </c>
      <c r="F226" s="1529" t="s">
        <v>357</v>
      </c>
      <c r="G226" s="1530"/>
      <c r="H226" s="380" t="s">
        <v>358</v>
      </c>
      <c r="I226" s="381" t="s">
        <v>244</v>
      </c>
      <c r="J226" s="659">
        <f>J227+J228</f>
        <v>950000000</v>
      </c>
      <c r="K226" s="659">
        <f>K227+K228</f>
        <v>950000000</v>
      </c>
      <c r="L226" s="911">
        <f t="shared" ref="L226:L239" si="88">K226*$V$9</f>
        <v>190000000</v>
      </c>
      <c r="M226" s="911">
        <f t="shared" ref="M226:M239" si="89">K226*$W$9</f>
        <v>380000000</v>
      </c>
      <c r="N226" s="911">
        <f t="shared" ref="N226:N239" si="90">K226*$X$9</f>
        <v>380000000</v>
      </c>
      <c r="O226" s="331">
        <f t="shared" ref="O226:O239" si="91">K226*$Y$9</f>
        <v>0</v>
      </c>
      <c r="P226" s="319"/>
      <c r="Q226" s="331">
        <f t="shared" si="73"/>
        <v>950000000</v>
      </c>
      <c r="R226" s="576"/>
      <c r="S226" s="504"/>
      <c r="T226" s="731">
        <f t="shared" si="81"/>
        <v>0</v>
      </c>
      <c r="V226" s="63"/>
    </row>
    <row r="227" spans="2:22" s="82" customFormat="1" ht="16.5" hidden="1" customHeight="1" x14ac:dyDescent="0.25">
      <c r="B227" s="59"/>
      <c r="C227" s="49"/>
      <c r="D227" s="79"/>
      <c r="E227" s="40"/>
      <c r="F227" s="382" t="s">
        <v>46</v>
      </c>
      <c r="G227" s="383" t="s">
        <v>357</v>
      </c>
      <c r="H227" s="384"/>
      <c r="I227" s="385"/>
      <c r="J227" s="665">
        <v>550000000</v>
      </c>
      <c r="K227" s="665">
        <v>550000000</v>
      </c>
      <c r="L227" s="916">
        <f t="shared" si="88"/>
        <v>110000000</v>
      </c>
      <c r="M227" s="916">
        <f t="shared" si="89"/>
        <v>220000000</v>
      </c>
      <c r="N227" s="916">
        <f t="shared" si="90"/>
        <v>220000000</v>
      </c>
      <c r="O227" s="386">
        <f t="shared" si="91"/>
        <v>0</v>
      </c>
      <c r="P227" s="387"/>
      <c r="Q227" s="386">
        <f t="shared" si="73"/>
        <v>550000000</v>
      </c>
      <c r="R227" s="577"/>
      <c r="S227" s="506"/>
      <c r="T227" s="731">
        <f t="shared" si="81"/>
        <v>0</v>
      </c>
      <c r="V227" s="63"/>
    </row>
    <row r="228" spans="2:22" s="306" customFormat="1" hidden="1" x14ac:dyDescent="0.25">
      <c r="B228" s="13"/>
      <c r="C228" s="263"/>
      <c r="D228" s="388"/>
      <c r="E228" s="156"/>
      <c r="F228" s="389" t="s">
        <v>46</v>
      </c>
      <c r="G228" s="390" t="s">
        <v>359</v>
      </c>
      <c r="H228" s="391"/>
      <c r="I228" s="392"/>
      <c r="J228" s="666">
        <v>400000000</v>
      </c>
      <c r="K228" s="666">
        <v>400000000</v>
      </c>
      <c r="L228" s="917">
        <f t="shared" si="88"/>
        <v>80000000</v>
      </c>
      <c r="M228" s="917">
        <f t="shared" si="89"/>
        <v>160000000</v>
      </c>
      <c r="N228" s="917">
        <f t="shared" si="90"/>
        <v>160000000</v>
      </c>
      <c r="O228" s="393">
        <f t="shared" si="91"/>
        <v>0</v>
      </c>
      <c r="P228" s="387"/>
      <c r="Q228" s="393">
        <f t="shared" si="73"/>
        <v>400000000</v>
      </c>
      <c r="R228" s="578"/>
      <c r="S228" s="506"/>
      <c r="T228" s="928">
        <f t="shared" si="81"/>
        <v>0</v>
      </c>
      <c r="V228" s="307"/>
    </row>
    <row r="229" spans="2:22" s="29" customFormat="1" ht="21.75" customHeight="1" x14ac:dyDescent="0.25">
      <c r="B229" s="13"/>
      <c r="C229" s="49"/>
      <c r="D229" s="79"/>
      <c r="E229" s="109" t="s">
        <v>10</v>
      </c>
      <c r="F229" s="1517" t="s">
        <v>360</v>
      </c>
      <c r="G229" s="1518"/>
      <c r="H229" s="394" t="s">
        <v>361</v>
      </c>
      <c r="I229" s="381" t="s">
        <v>244</v>
      </c>
      <c r="J229" s="667">
        <f>J230</f>
        <v>1000000000</v>
      </c>
      <c r="K229" s="667">
        <f>K230</f>
        <v>1000000000</v>
      </c>
      <c r="L229" s="918">
        <f t="shared" si="88"/>
        <v>200000000</v>
      </c>
      <c r="M229" s="918">
        <f t="shared" si="89"/>
        <v>400000000</v>
      </c>
      <c r="N229" s="918">
        <f t="shared" si="90"/>
        <v>400000000</v>
      </c>
      <c r="O229" s="395">
        <f t="shared" si="91"/>
        <v>0</v>
      </c>
      <c r="P229" s="319"/>
      <c r="Q229" s="395">
        <f t="shared" si="73"/>
        <v>1000000000</v>
      </c>
      <c r="R229" s="576"/>
      <c r="S229" s="504"/>
      <c r="T229" s="396">
        <f t="shared" si="81"/>
        <v>0</v>
      </c>
      <c r="V229" s="145"/>
    </row>
    <row r="230" spans="2:22" s="306" customFormat="1" ht="27.75" hidden="1" customHeight="1" x14ac:dyDescent="0.25">
      <c r="B230" s="13"/>
      <c r="C230" s="263"/>
      <c r="D230" s="388"/>
      <c r="E230" s="156"/>
      <c r="F230" s="389" t="s">
        <v>46</v>
      </c>
      <c r="G230" s="390" t="s">
        <v>362</v>
      </c>
      <c r="H230" s="391"/>
      <c r="I230" s="392"/>
      <c r="J230" s="666">
        <v>1000000000</v>
      </c>
      <c r="K230" s="666">
        <v>1000000000</v>
      </c>
      <c r="L230" s="917">
        <f t="shared" si="88"/>
        <v>200000000</v>
      </c>
      <c r="M230" s="917">
        <f t="shared" si="89"/>
        <v>400000000</v>
      </c>
      <c r="N230" s="917">
        <f t="shared" si="90"/>
        <v>400000000</v>
      </c>
      <c r="O230" s="393">
        <f t="shared" si="91"/>
        <v>0</v>
      </c>
      <c r="P230" s="387"/>
      <c r="Q230" s="393">
        <f t="shared" si="73"/>
        <v>1000000000</v>
      </c>
      <c r="R230" s="578"/>
      <c r="S230" s="506"/>
      <c r="T230" s="928">
        <f t="shared" si="81"/>
        <v>0</v>
      </c>
      <c r="V230" s="307"/>
    </row>
    <row r="231" spans="2:22" s="29" customFormat="1" ht="21.75" customHeight="1" x14ac:dyDescent="0.25">
      <c r="B231" s="13"/>
      <c r="C231" s="49"/>
      <c r="D231" s="79"/>
      <c r="E231" s="109" t="s">
        <v>13</v>
      </c>
      <c r="F231" s="1519" t="s">
        <v>363</v>
      </c>
      <c r="G231" s="1520"/>
      <c r="H231" s="394" t="s">
        <v>364</v>
      </c>
      <c r="I231" s="381" t="s">
        <v>365</v>
      </c>
      <c r="J231" s="667">
        <f>SUM(J232:J233)</f>
        <v>550000000</v>
      </c>
      <c r="K231" s="667">
        <f>SUM(K232:K233)</f>
        <v>550000000</v>
      </c>
      <c r="L231" s="918">
        <f t="shared" si="88"/>
        <v>110000000</v>
      </c>
      <c r="M231" s="918">
        <f t="shared" si="89"/>
        <v>220000000</v>
      </c>
      <c r="N231" s="918">
        <f t="shared" si="90"/>
        <v>220000000</v>
      </c>
      <c r="O231" s="395">
        <f t="shared" si="91"/>
        <v>0</v>
      </c>
      <c r="P231" s="319"/>
      <c r="Q231" s="395">
        <f t="shared" si="73"/>
        <v>550000000</v>
      </c>
      <c r="R231" s="576"/>
      <c r="S231" s="504"/>
      <c r="T231" s="396">
        <f t="shared" si="81"/>
        <v>0</v>
      </c>
      <c r="V231" s="145"/>
    </row>
    <row r="232" spans="2:22" s="306" customFormat="1" ht="15" hidden="1" customHeight="1" x14ac:dyDescent="0.25">
      <c r="B232" s="13"/>
      <c r="C232" s="263"/>
      <c r="D232" s="388"/>
      <c r="E232" s="156"/>
      <c r="F232" s="397" t="s">
        <v>46</v>
      </c>
      <c r="G232" s="398" t="s">
        <v>366</v>
      </c>
      <c r="H232" s="391"/>
      <c r="I232" s="392" t="s">
        <v>244</v>
      </c>
      <c r="J232" s="666">
        <v>300000000</v>
      </c>
      <c r="K232" s="666">
        <v>300000000</v>
      </c>
      <c r="L232" s="917">
        <f t="shared" si="88"/>
        <v>60000000</v>
      </c>
      <c r="M232" s="917">
        <f t="shared" si="89"/>
        <v>120000000</v>
      </c>
      <c r="N232" s="917">
        <f t="shared" si="90"/>
        <v>120000000</v>
      </c>
      <c r="O232" s="393">
        <f t="shared" si="91"/>
        <v>0</v>
      </c>
      <c r="P232" s="387"/>
      <c r="Q232" s="393">
        <f t="shared" si="73"/>
        <v>300000000</v>
      </c>
      <c r="R232" s="578"/>
      <c r="S232" s="506"/>
      <c r="T232" s="928">
        <f t="shared" si="81"/>
        <v>0</v>
      </c>
      <c r="V232" s="307"/>
    </row>
    <row r="233" spans="2:22" s="306" customFormat="1" ht="15" hidden="1" customHeight="1" x14ac:dyDescent="0.25">
      <c r="B233" s="13"/>
      <c r="C233" s="263"/>
      <c r="D233" s="388"/>
      <c r="E233" s="156"/>
      <c r="F233" s="397" t="s">
        <v>46</v>
      </c>
      <c r="G233" s="398" t="s">
        <v>367</v>
      </c>
      <c r="H233" s="391"/>
      <c r="I233" s="392" t="s">
        <v>244</v>
      </c>
      <c r="J233" s="666">
        <v>250000000</v>
      </c>
      <c r="K233" s="666">
        <v>250000000</v>
      </c>
      <c r="L233" s="917">
        <f t="shared" si="88"/>
        <v>50000000</v>
      </c>
      <c r="M233" s="917">
        <f t="shared" si="89"/>
        <v>100000000</v>
      </c>
      <c r="N233" s="917">
        <f t="shared" si="90"/>
        <v>100000000</v>
      </c>
      <c r="O233" s="393">
        <f t="shared" si="91"/>
        <v>0</v>
      </c>
      <c r="P233" s="387"/>
      <c r="Q233" s="393">
        <f t="shared" si="73"/>
        <v>250000000</v>
      </c>
      <c r="R233" s="578"/>
      <c r="S233" s="506"/>
      <c r="T233" s="928">
        <f t="shared" si="81"/>
        <v>0</v>
      </c>
      <c r="V233" s="307"/>
    </row>
    <row r="234" spans="2:22" s="306" customFormat="1" ht="30.75" customHeight="1" x14ac:dyDescent="0.25">
      <c r="B234" s="13"/>
      <c r="C234" s="49"/>
      <c r="D234" s="79"/>
      <c r="E234" s="109" t="s">
        <v>16</v>
      </c>
      <c r="F234" s="1521" t="s">
        <v>368</v>
      </c>
      <c r="G234" s="1522"/>
      <c r="H234" s="354" t="s">
        <v>369</v>
      </c>
      <c r="I234" s="381">
        <v>0.2</v>
      </c>
      <c r="J234" s="667">
        <v>1000000000</v>
      </c>
      <c r="K234" s="667">
        <v>1000000000</v>
      </c>
      <c r="L234" s="918">
        <f t="shared" si="88"/>
        <v>200000000</v>
      </c>
      <c r="M234" s="918">
        <f t="shared" si="89"/>
        <v>400000000</v>
      </c>
      <c r="N234" s="918">
        <f t="shared" si="90"/>
        <v>400000000</v>
      </c>
      <c r="O234" s="395">
        <f t="shared" si="91"/>
        <v>0</v>
      </c>
      <c r="P234" s="319"/>
      <c r="Q234" s="395">
        <f t="shared" si="73"/>
        <v>1000000000</v>
      </c>
      <c r="R234" s="576"/>
      <c r="S234" s="504"/>
      <c r="T234" s="928">
        <f t="shared" si="81"/>
        <v>0</v>
      </c>
      <c r="V234" s="307"/>
    </row>
    <row r="235" spans="2:22" s="306" customFormat="1" ht="22.5" customHeight="1" x14ac:dyDescent="0.25">
      <c r="B235" s="13"/>
      <c r="C235" s="399"/>
      <c r="D235" s="109"/>
      <c r="E235" s="109" t="s">
        <v>19</v>
      </c>
      <c r="F235" s="1517" t="s">
        <v>371</v>
      </c>
      <c r="G235" s="1518"/>
      <c r="H235" s="394" t="s">
        <v>372</v>
      </c>
      <c r="I235" s="381" t="s">
        <v>370</v>
      </c>
      <c r="J235" s="667">
        <v>600000000</v>
      </c>
      <c r="K235" s="667">
        <v>600000000</v>
      </c>
      <c r="L235" s="918">
        <f t="shared" si="88"/>
        <v>120000000</v>
      </c>
      <c r="M235" s="918">
        <f t="shared" si="89"/>
        <v>240000000</v>
      </c>
      <c r="N235" s="918">
        <f t="shared" si="90"/>
        <v>240000000</v>
      </c>
      <c r="O235" s="395">
        <f t="shared" si="91"/>
        <v>0</v>
      </c>
      <c r="P235" s="319"/>
      <c r="Q235" s="395">
        <f t="shared" si="73"/>
        <v>600000000</v>
      </c>
      <c r="R235" s="576"/>
      <c r="S235" s="504"/>
      <c r="T235" s="928">
        <f t="shared" si="81"/>
        <v>0</v>
      </c>
      <c r="V235" s="307"/>
    </row>
    <row r="236" spans="2:22" s="29" customFormat="1" ht="18.75" customHeight="1" x14ac:dyDescent="0.25">
      <c r="B236" s="13"/>
      <c r="C236" s="400"/>
      <c r="D236" s="77"/>
      <c r="E236" s="77" t="s">
        <v>27</v>
      </c>
      <c r="F236" s="1523" t="s">
        <v>373</v>
      </c>
      <c r="G236" s="1524"/>
      <c r="H236" s="401" t="s">
        <v>374</v>
      </c>
      <c r="I236" s="402" t="s">
        <v>370</v>
      </c>
      <c r="J236" s="659">
        <f>SUM(J237:J237)</f>
        <v>400000000</v>
      </c>
      <c r="K236" s="659">
        <f>SUM(K237:K237)</f>
        <v>400000000</v>
      </c>
      <c r="L236" s="911">
        <f t="shared" si="88"/>
        <v>80000000</v>
      </c>
      <c r="M236" s="911">
        <f t="shared" si="89"/>
        <v>160000000</v>
      </c>
      <c r="N236" s="911">
        <f t="shared" si="90"/>
        <v>160000000</v>
      </c>
      <c r="O236" s="331">
        <f t="shared" si="91"/>
        <v>0</v>
      </c>
      <c r="P236" s="319"/>
      <c r="Q236" s="331">
        <f t="shared" si="73"/>
        <v>400000000</v>
      </c>
      <c r="R236" s="579"/>
      <c r="S236" s="504"/>
      <c r="T236" s="396">
        <f t="shared" si="81"/>
        <v>0</v>
      </c>
      <c r="V236" s="145"/>
    </row>
    <row r="237" spans="2:22" s="306" customFormat="1" ht="16.5" hidden="1" customHeight="1" x14ac:dyDescent="0.25">
      <c r="B237" s="13"/>
      <c r="C237" s="403"/>
      <c r="D237" s="156"/>
      <c r="E237" s="156"/>
      <c r="F237" s="404" t="s">
        <v>46</v>
      </c>
      <c r="G237" s="405" t="s">
        <v>375</v>
      </c>
      <c r="H237" s="391"/>
      <c r="I237" s="392"/>
      <c r="J237" s="666">
        <v>400000000</v>
      </c>
      <c r="K237" s="666">
        <v>400000000</v>
      </c>
      <c r="L237" s="917">
        <f t="shared" si="88"/>
        <v>80000000</v>
      </c>
      <c r="M237" s="917">
        <f t="shared" si="89"/>
        <v>160000000</v>
      </c>
      <c r="N237" s="917">
        <f t="shared" si="90"/>
        <v>160000000</v>
      </c>
      <c r="O237" s="393">
        <f t="shared" si="91"/>
        <v>0</v>
      </c>
      <c r="P237" s="387"/>
      <c r="Q237" s="393">
        <f t="shared" si="73"/>
        <v>400000000</v>
      </c>
      <c r="R237" s="578"/>
      <c r="S237" s="506"/>
      <c r="T237" s="928">
        <f t="shared" si="81"/>
        <v>0</v>
      </c>
      <c r="V237" s="307"/>
    </row>
    <row r="238" spans="2:22" s="29" customFormat="1" ht="21" customHeight="1" x14ac:dyDescent="0.25">
      <c r="B238" s="13"/>
      <c r="C238" s="399"/>
      <c r="D238" s="109"/>
      <c r="E238" s="109" t="s">
        <v>30</v>
      </c>
      <c r="F238" s="1525" t="s">
        <v>376</v>
      </c>
      <c r="G238" s="1526"/>
      <c r="H238" s="354" t="s">
        <v>377</v>
      </c>
      <c r="I238" s="406" t="s">
        <v>370</v>
      </c>
      <c r="J238" s="668">
        <v>300000000</v>
      </c>
      <c r="K238" s="668">
        <v>300000000</v>
      </c>
      <c r="L238" s="919">
        <f t="shared" si="88"/>
        <v>60000000</v>
      </c>
      <c r="M238" s="919">
        <f t="shared" si="89"/>
        <v>120000000</v>
      </c>
      <c r="N238" s="919">
        <f t="shared" si="90"/>
        <v>120000000</v>
      </c>
      <c r="O238" s="407">
        <f t="shared" si="91"/>
        <v>0</v>
      </c>
      <c r="P238" s="319"/>
      <c r="Q238" s="407">
        <f t="shared" si="73"/>
        <v>300000000</v>
      </c>
      <c r="R238" s="580"/>
      <c r="S238" s="504"/>
      <c r="T238" s="396">
        <f t="shared" si="81"/>
        <v>0</v>
      </c>
      <c r="V238" s="145"/>
    </row>
    <row r="239" spans="2:22" s="29" customFormat="1" ht="21" customHeight="1" x14ac:dyDescent="0.25">
      <c r="B239" s="13"/>
      <c r="C239" s="399"/>
      <c r="D239" s="109"/>
      <c r="E239" s="109" t="s">
        <v>8</v>
      </c>
      <c r="F239" s="1510" t="s">
        <v>409</v>
      </c>
      <c r="G239" s="1511"/>
      <c r="H239" s="394" t="s">
        <v>410</v>
      </c>
      <c r="I239" s="381" t="s">
        <v>370</v>
      </c>
      <c r="J239" s="669">
        <v>400000000</v>
      </c>
      <c r="K239" s="669">
        <v>400000000</v>
      </c>
      <c r="L239" s="920">
        <f t="shared" si="88"/>
        <v>80000000</v>
      </c>
      <c r="M239" s="920">
        <f t="shared" si="89"/>
        <v>160000000</v>
      </c>
      <c r="N239" s="920">
        <f t="shared" si="90"/>
        <v>160000000</v>
      </c>
      <c r="O239" s="408">
        <f t="shared" si="91"/>
        <v>0</v>
      </c>
      <c r="P239" s="319"/>
      <c r="Q239" s="408">
        <f t="shared" si="73"/>
        <v>400000000</v>
      </c>
      <c r="R239" s="576"/>
      <c r="S239" s="504"/>
      <c r="T239" s="396">
        <f t="shared" si="81"/>
        <v>0</v>
      </c>
      <c r="V239" s="145"/>
    </row>
    <row r="240" spans="2:22" s="29" customFormat="1" ht="3.75" customHeight="1" x14ac:dyDescent="0.25">
      <c r="B240" s="13"/>
      <c r="C240" s="399"/>
      <c r="D240" s="109"/>
      <c r="E240" s="109"/>
      <c r="F240" s="409"/>
      <c r="G240" s="410"/>
      <c r="H240" s="354"/>
      <c r="I240" s="406"/>
      <c r="J240" s="670"/>
      <c r="K240" s="670"/>
      <c r="L240" s="921"/>
      <c r="M240" s="921"/>
      <c r="N240" s="921"/>
      <c r="O240" s="411"/>
      <c r="P240" s="319"/>
      <c r="Q240" s="411">
        <f t="shared" si="73"/>
        <v>0</v>
      </c>
      <c r="R240" s="580"/>
      <c r="S240" s="504"/>
      <c r="T240" s="396">
        <f t="shared" si="81"/>
        <v>0</v>
      </c>
      <c r="V240" s="145"/>
    </row>
    <row r="241" spans="2:22" s="29" customFormat="1" ht="35.25" customHeight="1" x14ac:dyDescent="0.25">
      <c r="B241" s="13"/>
      <c r="C241" s="1501" t="s">
        <v>460</v>
      </c>
      <c r="D241" s="1502"/>
      <c r="E241" s="1512" t="s">
        <v>378</v>
      </c>
      <c r="F241" s="1513"/>
      <c r="G241" s="1514"/>
      <c r="H241" s="412" t="s">
        <v>379</v>
      </c>
      <c r="I241" s="413"/>
      <c r="J241" s="649">
        <f t="shared" ref="J241:O241" si="92">J242+J243+J244</f>
        <v>500000000</v>
      </c>
      <c r="K241" s="649">
        <f t="shared" si="92"/>
        <v>500000000</v>
      </c>
      <c r="L241" s="901">
        <f t="shared" si="92"/>
        <v>100000000</v>
      </c>
      <c r="M241" s="901">
        <f t="shared" si="92"/>
        <v>182500000</v>
      </c>
      <c r="N241" s="901">
        <f t="shared" si="92"/>
        <v>182500000</v>
      </c>
      <c r="O241" s="283">
        <f t="shared" si="92"/>
        <v>35000000</v>
      </c>
      <c r="P241" s="104"/>
      <c r="Q241" s="283">
        <f t="shared" si="73"/>
        <v>500000000</v>
      </c>
      <c r="R241" s="581"/>
      <c r="S241" s="14"/>
      <c r="T241" s="396">
        <f t="shared" si="81"/>
        <v>0</v>
      </c>
      <c r="V241" s="145"/>
    </row>
    <row r="242" spans="2:22" s="29" customFormat="1" ht="23.25" customHeight="1" x14ac:dyDescent="0.25">
      <c r="B242" s="13"/>
      <c r="C242" s="399"/>
      <c r="D242" s="109"/>
      <c r="E242" s="109" t="s">
        <v>5</v>
      </c>
      <c r="F242" s="1515" t="s">
        <v>380</v>
      </c>
      <c r="G242" s="1516"/>
      <c r="H242" s="401" t="s">
        <v>381</v>
      </c>
      <c r="I242" s="402" t="s">
        <v>244</v>
      </c>
      <c r="J242" s="659">
        <v>175000000</v>
      </c>
      <c r="K242" s="659">
        <v>175000000</v>
      </c>
      <c r="L242" s="911">
        <f t="shared" ref="L242:L244" si="93">K242*$V$9</f>
        <v>35000000</v>
      </c>
      <c r="M242" s="911">
        <f>K242*$W$11</f>
        <v>52500000</v>
      </c>
      <c r="N242" s="911">
        <f>K242*$X$11</f>
        <v>52500000</v>
      </c>
      <c r="O242" s="331">
        <f>K242*$Y$11</f>
        <v>35000000</v>
      </c>
      <c r="P242" s="319"/>
      <c r="Q242" s="331">
        <f t="shared" si="73"/>
        <v>175000000</v>
      </c>
      <c r="R242" s="579"/>
      <c r="S242" s="504"/>
      <c r="T242" s="396">
        <f t="shared" si="81"/>
        <v>0</v>
      </c>
      <c r="V242" s="145"/>
    </row>
    <row r="243" spans="2:22" s="29" customFormat="1" ht="27.75" customHeight="1" x14ac:dyDescent="0.25">
      <c r="B243" s="13"/>
      <c r="C243" s="399"/>
      <c r="D243" s="109"/>
      <c r="E243" s="109" t="s">
        <v>10</v>
      </c>
      <c r="F243" s="1510" t="s">
        <v>382</v>
      </c>
      <c r="G243" s="1511"/>
      <c r="H243" s="394" t="s">
        <v>383</v>
      </c>
      <c r="I243" s="381" t="s">
        <v>244</v>
      </c>
      <c r="J243" s="667">
        <v>175000000</v>
      </c>
      <c r="K243" s="667">
        <v>175000000</v>
      </c>
      <c r="L243" s="918">
        <f t="shared" si="93"/>
        <v>35000000</v>
      </c>
      <c r="M243" s="918">
        <f t="shared" ref="M243:M244" si="94">K243*$W$9</f>
        <v>70000000</v>
      </c>
      <c r="N243" s="918">
        <f t="shared" ref="N243:N244" si="95">K243*$X$9</f>
        <v>70000000</v>
      </c>
      <c r="O243" s="395">
        <f t="shared" ref="O243:O244" si="96">K243*$Y$9</f>
        <v>0</v>
      </c>
      <c r="P243" s="319"/>
      <c r="Q243" s="395">
        <f t="shared" si="73"/>
        <v>175000000</v>
      </c>
      <c r="R243" s="576"/>
      <c r="S243" s="504"/>
      <c r="T243" s="396">
        <f t="shared" si="81"/>
        <v>0</v>
      </c>
      <c r="V243" s="145"/>
    </row>
    <row r="244" spans="2:22" s="29" customFormat="1" ht="30.75" customHeight="1" x14ac:dyDescent="0.25">
      <c r="B244" s="13"/>
      <c r="C244" s="399"/>
      <c r="D244" s="109"/>
      <c r="E244" s="109" t="s">
        <v>13</v>
      </c>
      <c r="F244" s="1510" t="s">
        <v>384</v>
      </c>
      <c r="G244" s="1511"/>
      <c r="H244" s="394" t="s">
        <v>385</v>
      </c>
      <c r="I244" s="381" t="s">
        <v>244</v>
      </c>
      <c r="J244" s="667">
        <v>150000000</v>
      </c>
      <c r="K244" s="667">
        <v>150000000</v>
      </c>
      <c r="L244" s="918">
        <f t="shared" si="93"/>
        <v>30000000</v>
      </c>
      <c r="M244" s="918">
        <f t="shared" si="94"/>
        <v>60000000</v>
      </c>
      <c r="N244" s="918">
        <f t="shared" si="95"/>
        <v>60000000</v>
      </c>
      <c r="O244" s="395">
        <f t="shared" si="96"/>
        <v>0</v>
      </c>
      <c r="P244" s="319"/>
      <c r="Q244" s="395">
        <f t="shared" si="73"/>
        <v>150000000</v>
      </c>
      <c r="R244" s="576"/>
      <c r="S244" s="504"/>
      <c r="T244" s="396">
        <f t="shared" si="81"/>
        <v>0</v>
      </c>
      <c r="V244" s="145"/>
    </row>
    <row r="245" spans="2:22" s="29" customFormat="1" ht="16.5" hidden="1" customHeight="1" x14ac:dyDescent="0.25">
      <c r="B245" s="13"/>
      <c r="C245" s="399"/>
      <c r="D245" s="109"/>
      <c r="E245" s="109"/>
      <c r="F245" s="404" t="s">
        <v>46</v>
      </c>
      <c r="G245" s="405" t="s">
        <v>386</v>
      </c>
      <c r="H245" s="391"/>
      <c r="I245" s="392"/>
      <c r="J245" s="671">
        <v>300000000</v>
      </c>
      <c r="K245" s="671">
        <v>300000000</v>
      </c>
      <c r="L245" s="922">
        <v>300000000</v>
      </c>
      <c r="M245" s="922">
        <v>300000000</v>
      </c>
      <c r="N245" s="922">
        <v>300000000</v>
      </c>
      <c r="O245" s="414">
        <v>300000000</v>
      </c>
      <c r="P245" s="387"/>
      <c r="Q245" s="414">
        <f t="shared" si="73"/>
        <v>1200000000</v>
      </c>
      <c r="R245" s="578"/>
      <c r="S245" s="506"/>
      <c r="T245" s="396">
        <f t="shared" si="81"/>
        <v>900000000</v>
      </c>
      <c r="V245" s="145"/>
    </row>
    <row r="246" spans="2:22" ht="3.75" customHeight="1" x14ac:dyDescent="0.25">
      <c r="C246" s="415"/>
      <c r="D246" s="338"/>
      <c r="E246" s="338"/>
      <c r="F246" s="416"/>
      <c r="G246" s="417"/>
      <c r="H246" s="367"/>
      <c r="I246" s="418"/>
      <c r="J246" s="648"/>
      <c r="K246" s="648"/>
      <c r="L246" s="900"/>
      <c r="M246" s="900"/>
      <c r="N246" s="900"/>
      <c r="O246" s="281"/>
      <c r="P246" s="101"/>
      <c r="Q246" s="281">
        <f t="shared" si="73"/>
        <v>0</v>
      </c>
      <c r="R246" s="582"/>
      <c r="S246" s="491"/>
      <c r="T246" s="924">
        <f t="shared" si="81"/>
        <v>0</v>
      </c>
      <c r="V246" s="230"/>
    </row>
    <row r="247" spans="2:22" s="15" customFormat="1" ht="36.75" customHeight="1" x14ac:dyDescent="0.25">
      <c r="B247" s="13"/>
      <c r="C247" s="1501" t="s">
        <v>461</v>
      </c>
      <c r="D247" s="1502"/>
      <c r="E247" s="1512" t="s">
        <v>387</v>
      </c>
      <c r="F247" s="1513"/>
      <c r="G247" s="1514"/>
      <c r="H247" s="231" t="s">
        <v>388</v>
      </c>
      <c r="I247" s="379"/>
      <c r="J247" s="649">
        <f t="shared" ref="J247:O247" si="97">J248</f>
        <v>300000000</v>
      </c>
      <c r="K247" s="649">
        <f t="shared" si="97"/>
        <v>300000000</v>
      </c>
      <c r="L247" s="901">
        <f t="shared" si="97"/>
        <v>60000000</v>
      </c>
      <c r="M247" s="901">
        <f t="shared" si="97"/>
        <v>90000000</v>
      </c>
      <c r="N247" s="901">
        <f t="shared" si="97"/>
        <v>90000000</v>
      </c>
      <c r="O247" s="283">
        <f t="shared" si="97"/>
        <v>60000000</v>
      </c>
      <c r="P247" s="104"/>
      <c r="Q247" s="283">
        <f t="shared" si="73"/>
        <v>300000000</v>
      </c>
      <c r="R247" s="575"/>
      <c r="S247" s="14"/>
      <c r="T247" s="396">
        <f t="shared" si="81"/>
        <v>0</v>
      </c>
      <c r="V247" s="145"/>
    </row>
    <row r="248" spans="2:22" s="29" customFormat="1" ht="31.5" customHeight="1" x14ac:dyDescent="0.25">
      <c r="B248" s="13"/>
      <c r="C248" s="76"/>
      <c r="D248" s="77"/>
      <c r="E248" s="77" t="s">
        <v>5</v>
      </c>
      <c r="F248" s="1503" t="s">
        <v>390</v>
      </c>
      <c r="G248" s="1504"/>
      <c r="H248" s="293" t="s">
        <v>388</v>
      </c>
      <c r="I248" s="419">
        <v>1</v>
      </c>
      <c r="J248" s="659">
        <v>300000000</v>
      </c>
      <c r="K248" s="659">
        <v>300000000</v>
      </c>
      <c r="L248" s="911">
        <f t="shared" ref="L248" si="98">K248*$V$9</f>
        <v>60000000</v>
      </c>
      <c r="M248" s="911">
        <f>K248*$W$11</f>
        <v>90000000</v>
      </c>
      <c r="N248" s="911">
        <f>K248*$X$11</f>
        <v>90000000</v>
      </c>
      <c r="O248" s="331">
        <f>K248*$Y$11</f>
        <v>60000000</v>
      </c>
      <c r="P248" s="319"/>
      <c r="Q248" s="331">
        <f t="shared" si="73"/>
        <v>300000000</v>
      </c>
      <c r="R248" s="583"/>
      <c r="S248" s="504"/>
      <c r="T248" s="396">
        <f t="shared" si="81"/>
        <v>0</v>
      </c>
      <c r="V248" s="145"/>
    </row>
    <row r="249" spans="2:22" ht="3" customHeight="1" thickBot="1" x14ac:dyDescent="0.3">
      <c r="C249" s="420"/>
      <c r="D249" s="421"/>
      <c r="E249" s="421"/>
      <c r="F249" s="422"/>
      <c r="G249" s="423"/>
      <c r="H249" s="424"/>
      <c r="I249" s="425"/>
      <c r="J249" s="672"/>
      <c r="K249" s="672"/>
      <c r="L249" s="923"/>
      <c r="M249" s="923"/>
      <c r="N249" s="923"/>
      <c r="O249" s="426"/>
      <c r="P249" s="101"/>
      <c r="Q249" s="426">
        <f t="shared" si="73"/>
        <v>0</v>
      </c>
      <c r="R249" s="539"/>
      <c r="S249" s="491"/>
    </row>
    <row r="250" spans="2:22" ht="13.5" thickTop="1" x14ac:dyDescent="0.25"/>
  </sheetData>
  <mergeCells count="167">
    <mergeCell ref="C2:O2"/>
    <mergeCell ref="C3:P3"/>
    <mergeCell ref="C4:P4"/>
    <mergeCell ref="C6:D6"/>
    <mergeCell ref="E6:G6"/>
    <mergeCell ref="C8:E9"/>
    <mergeCell ref="F8:G9"/>
    <mergeCell ref="H8:H9"/>
    <mergeCell ref="I8:I9"/>
    <mergeCell ref="J8:J9"/>
    <mergeCell ref="D13:G13"/>
    <mergeCell ref="E14:G14"/>
    <mergeCell ref="E15:G15"/>
    <mergeCell ref="E16:G16"/>
    <mergeCell ref="E17:G17"/>
    <mergeCell ref="E18:G18"/>
    <mergeCell ref="R8:R9"/>
    <mergeCell ref="C10:E10"/>
    <mergeCell ref="F10:G10"/>
    <mergeCell ref="D11:G11"/>
    <mergeCell ref="D12:I12"/>
    <mergeCell ref="Q8:Q9"/>
    <mergeCell ref="E25:G25"/>
    <mergeCell ref="E26:G26"/>
    <mergeCell ref="E27:G27"/>
    <mergeCell ref="E28:G28"/>
    <mergeCell ref="E29:G29"/>
    <mergeCell ref="F30:G30"/>
    <mergeCell ref="E19:G19"/>
    <mergeCell ref="E20:G20"/>
    <mergeCell ref="E21:G21"/>
    <mergeCell ref="E22:G22"/>
    <mergeCell ref="F23:G23"/>
    <mergeCell ref="D24:G24"/>
    <mergeCell ref="E37:G37"/>
    <mergeCell ref="F38:G38"/>
    <mergeCell ref="D39:G39"/>
    <mergeCell ref="E40:G40"/>
    <mergeCell ref="E41:G41"/>
    <mergeCell ref="D42:G42"/>
    <mergeCell ref="F31:G31"/>
    <mergeCell ref="E32:G32"/>
    <mergeCell ref="F33:G33"/>
    <mergeCell ref="F34:G34"/>
    <mergeCell ref="E35:G35"/>
    <mergeCell ref="E36:G36"/>
    <mergeCell ref="E49:G49"/>
    <mergeCell ref="D51:I51"/>
    <mergeCell ref="C52:D52"/>
    <mergeCell ref="E52:G52"/>
    <mergeCell ref="F53:G53"/>
    <mergeCell ref="F54:G54"/>
    <mergeCell ref="E43:G43"/>
    <mergeCell ref="E44:G44"/>
    <mergeCell ref="D45:G45"/>
    <mergeCell ref="E46:G46"/>
    <mergeCell ref="E47:G47"/>
    <mergeCell ref="E48:G48"/>
    <mergeCell ref="F67:G67"/>
    <mergeCell ref="F74:G74"/>
    <mergeCell ref="F88:G88"/>
    <mergeCell ref="F89:G89"/>
    <mergeCell ref="F91:G91"/>
    <mergeCell ref="F94:G94"/>
    <mergeCell ref="F57:G57"/>
    <mergeCell ref="F60:G60"/>
    <mergeCell ref="F61:G61"/>
    <mergeCell ref="F64:G64"/>
    <mergeCell ref="F65:G65"/>
    <mergeCell ref="F66:G66"/>
    <mergeCell ref="F122:G122"/>
    <mergeCell ref="F124:G124"/>
    <mergeCell ref="F127:G127"/>
    <mergeCell ref="C131:D131"/>
    <mergeCell ref="E131:G131"/>
    <mergeCell ref="F132:G132"/>
    <mergeCell ref="F98:G98"/>
    <mergeCell ref="F106:G106"/>
    <mergeCell ref="F109:G109"/>
    <mergeCell ref="F113:G113"/>
    <mergeCell ref="F118:G118"/>
    <mergeCell ref="F120:G120"/>
    <mergeCell ref="F142:G142"/>
    <mergeCell ref="F143:G143"/>
    <mergeCell ref="F144:G144"/>
    <mergeCell ref="F145:G145"/>
    <mergeCell ref="F148:G148"/>
    <mergeCell ref="F149:G149"/>
    <mergeCell ref="F133:G133"/>
    <mergeCell ref="F134:G134"/>
    <mergeCell ref="F135:G135"/>
    <mergeCell ref="F139:G139"/>
    <mergeCell ref="F140:G140"/>
    <mergeCell ref="F141:G141"/>
    <mergeCell ref="C156:D156"/>
    <mergeCell ref="E156:G156"/>
    <mergeCell ref="F157:G157"/>
    <mergeCell ref="F158:G158"/>
    <mergeCell ref="F159:G159"/>
    <mergeCell ref="F160:G160"/>
    <mergeCell ref="F150:G150"/>
    <mergeCell ref="F151:G151"/>
    <mergeCell ref="F152:G152"/>
    <mergeCell ref="F153:G153"/>
    <mergeCell ref="F154:G154"/>
    <mergeCell ref="F155:G155"/>
    <mergeCell ref="C169:D169"/>
    <mergeCell ref="E169:G169"/>
    <mergeCell ref="F170:G170"/>
    <mergeCell ref="F174:G174"/>
    <mergeCell ref="F177:G177"/>
    <mergeCell ref="F180:G180"/>
    <mergeCell ref="C161:D161"/>
    <mergeCell ref="E161:G161"/>
    <mergeCell ref="F162:G162"/>
    <mergeCell ref="F163:G163"/>
    <mergeCell ref="F165:G165"/>
    <mergeCell ref="F167:G167"/>
    <mergeCell ref="F201:G201"/>
    <mergeCell ref="F204:G204"/>
    <mergeCell ref="F205:G205"/>
    <mergeCell ref="F206:G206"/>
    <mergeCell ref="F207:G207"/>
    <mergeCell ref="F208:G208"/>
    <mergeCell ref="F183:G183"/>
    <mergeCell ref="F187:G187"/>
    <mergeCell ref="F190:G190"/>
    <mergeCell ref="F193:G193"/>
    <mergeCell ref="F197:G197"/>
    <mergeCell ref="F200:G200"/>
    <mergeCell ref="F215:G215"/>
    <mergeCell ref="F216:G216"/>
    <mergeCell ref="C218:D218"/>
    <mergeCell ref="E218:G218"/>
    <mergeCell ref="F219:G219"/>
    <mergeCell ref="F220:G220"/>
    <mergeCell ref="F209:G209"/>
    <mergeCell ref="C210:D210"/>
    <mergeCell ref="E210:G210"/>
    <mergeCell ref="F211:G211"/>
    <mergeCell ref="F212:G212"/>
    <mergeCell ref="C214:D214"/>
    <mergeCell ref="E214:G214"/>
    <mergeCell ref="F244:G244"/>
    <mergeCell ref="C247:D247"/>
    <mergeCell ref="E247:G247"/>
    <mergeCell ref="F248:G248"/>
    <mergeCell ref="K8:K9"/>
    <mergeCell ref="L8:O8"/>
    <mergeCell ref="F238:G238"/>
    <mergeCell ref="F239:G239"/>
    <mergeCell ref="C241:D241"/>
    <mergeCell ref="E241:G241"/>
    <mergeCell ref="F242:G242"/>
    <mergeCell ref="F243:G243"/>
    <mergeCell ref="F226:G226"/>
    <mergeCell ref="F229:G229"/>
    <mergeCell ref="F231:G231"/>
    <mergeCell ref="F234:G234"/>
    <mergeCell ref="F235:G235"/>
    <mergeCell ref="F236:G236"/>
    <mergeCell ref="F221:G221"/>
    <mergeCell ref="F222:G222"/>
    <mergeCell ref="F223:G223"/>
    <mergeCell ref="F224:G224"/>
    <mergeCell ref="C225:D225"/>
    <mergeCell ref="E225:G225"/>
  </mergeCells>
  <printOptions horizontalCentered="1"/>
  <pageMargins left="0.43307086614173229" right="0.43307086614173229" top="0.59055118110236227" bottom="0.39370078740157483" header="0" footer="0"/>
  <pageSetup paperSize="9" scale="58" fitToHeight="0" orientation="landscape" useFirstPageNumber="1" r:id="rId1"/>
  <headerFooter>
    <oddFooter>&amp;L&amp;"Cambria,Italic"&amp;7&amp;K05-049&amp;F / &amp;A&amp;C&amp;"Cambria,Italic"&amp;7&amp;K04-021Hal &amp;P dari &amp;N&amp;R&amp;"-,Italic"&amp;7&amp;K09-022&amp;D /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Q247"/>
  <sheetViews>
    <sheetView view="pageBreakPreview" zoomScale="70" zoomScaleNormal="85" zoomScaleSheetLayoutView="70" workbookViewId="0">
      <selection activeCell="H98" sqref="H98"/>
    </sheetView>
  </sheetViews>
  <sheetFormatPr defaultRowHeight="12.75" x14ac:dyDescent="0.25"/>
  <cols>
    <col min="1" max="1" width="9" style="53" customWidth="1"/>
    <col min="2" max="2" width="0.5703125" style="13" customWidth="1"/>
    <col min="3" max="3" width="3.28515625" style="427" customWidth="1"/>
    <col min="4" max="4" width="4.140625" style="428" customWidth="1"/>
    <col min="5" max="5" width="3.5703125" style="428" customWidth="1"/>
    <col min="6" max="6" width="2.7109375" style="428" customWidth="1"/>
    <col min="7" max="7" width="56.7109375" style="429" customWidth="1"/>
    <col min="8" max="8" width="52" style="430" customWidth="1"/>
    <col min="9" max="9" width="9.85546875" style="431" customWidth="1"/>
    <col min="10" max="10" width="21.7109375" style="432" customWidth="1"/>
    <col min="11" max="11" width="22.7109375" style="432" customWidth="1"/>
    <col min="12" max="12" width="0.5703125" style="291" customWidth="1"/>
    <col min="13" max="13" width="17.5703125" style="431" customWidth="1"/>
    <col min="14" max="14" width="4.85546875" style="500" customWidth="1"/>
    <col min="15" max="17" width="14.140625" style="53" customWidth="1"/>
    <col min="18" max="26" width="10.5703125" style="53" customWidth="1"/>
    <col min="27" max="232" width="9.140625" style="53"/>
    <col min="233" max="233" width="1.7109375" style="53" customWidth="1"/>
    <col min="234" max="235" width="4.7109375" style="53" customWidth="1"/>
    <col min="236" max="236" width="54.140625" style="53" customWidth="1"/>
    <col min="237" max="237" width="52" style="53" customWidth="1"/>
    <col min="238" max="238" width="5.28515625" style="53" customWidth="1"/>
    <col min="239" max="239" width="5.85546875" style="53" bestFit="1" customWidth="1"/>
    <col min="240" max="240" width="16.42578125" style="53" customWidth="1"/>
    <col min="241" max="241" width="4.5703125" style="53" customWidth="1"/>
    <col min="242" max="242" width="14.140625" style="53" customWidth="1"/>
    <col min="243" max="243" width="27.140625" style="53" customWidth="1"/>
    <col min="244" max="244" width="16.28515625" style="53" customWidth="1"/>
    <col min="245" max="245" width="13.85546875" style="53" customWidth="1"/>
    <col min="246" max="488" width="9.140625" style="53"/>
    <col min="489" max="489" width="1.7109375" style="53" customWidth="1"/>
    <col min="490" max="491" width="4.7109375" style="53" customWidth="1"/>
    <col min="492" max="492" width="54.140625" style="53" customWidth="1"/>
    <col min="493" max="493" width="52" style="53" customWidth="1"/>
    <col min="494" max="494" width="5.28515625" style="53" customWidth="1"/>
    <col min="495" max="495" width="5.85546875" style="53" bestFit="1" customWidth="1"/>
    <col min="496" max="496" width="16.42578125" style="53" customWidth="1"/>
    <col min="497" max="497" width="4.5703125" style="53" customWidth="1"/>
    <col min="498" max="498" width="14.140625" style="53" customWidth="1"/>
    <col min="499" max="499" width="27.140625" style="53" customWidth="1"/>
    <col min="500" max="500" width="16.28515625" style="53" customWidth="1"/>
    <col min="501" max="501" width="13.85546875" style="53" customWidth="1"/>
    <col min="502" max="744" width="9.140625" style="53"/>
    <col min="745" max="745" width="1.7109375" style="53" customWidth="1"/>
    <col min="746" max="747" width="4.7109375" style="53" customWidth="1"/>
    <col min="748" max="748" width="54.140625" style="53" customWidth="1"/>
    <col min="749" max="749" width="52" style="53" customWidth="1"/>
    <col min="750" max="750" width="5.28515625" style="53" customWidth="1"/>
    <col min="751" max="751" width="5.85546875" style="53" bestFit="1" customWidth="1"/>
    <col min="752" max="752" width="16.42578125" style="53" customWidth="1"/>
    <col min="753" max="753" width="4.5703125" style="53" customWidth="1"/>
    <col min="754" max="754" width="14.140625" style="53" customWidth="1"/>
    <col min="755" max="755" width="27.140625" style="53" customWidth="1"/>
    <col min="756" max="756" width="16.28515625" style="53" customWidth="1"/>
    <col min="757" max="757" width="13.85546875" style="53" customWidth="1"/>
    <col min="758" max="1000" width="9.140625" style="53"/>
    <col min="1001" max="1001" width="1.7109375" style="53" customWidth="1"/>
    <col min="1002" max="1003" width="4.7109375" style="53" customWidth="1"/>
    <col min="1004" max="1004" width="54.140625" style="53" customWidth="1"/>
    <col min="1005" max="1005" width="52" style="53" customWidth="1"/>
    <col min="1006" max="1006" width="5.28515625" style="53" customWidth="1"/>
    <col min="1007" max="1007" width="5.85546875" style="53" bestFit="1" customWidth="1"/>
    <col min="1008" max="1008" width="16.42578125" style="53" customWidth="1"/>
    <col min="1009" max="1009" width="4.5703125" style="53" customWidth="1"/>
    <col min="1010" max="1010" width="14.140625" style="53" customWidth="1"/>
    <col min="1011" max="1011" width="27.140625" style="53" customWidth="1"/>
    <col min="1012" max="1012" width="16.28515625" style="53" customWidth="1"/>
    <col min="1013" max="1013" width="13.85546875" style="53" customWidth="1"/>
    <col min="1014" max="1256" width="9.140625" style="53"/>
    <col min="1257" max="1257" width="1.7109375" style="53" customWidth="1"/>
    <col min="1258" max="1259" width="4.7109375" style="53" customWidth="1"/>
    <col min="1260" max="1260" width="54.140625" style="53" customWidth="1"/>
    <col min="1261" max="1261" width="52" style="53" customWidth="1"/>
    <col min="1262" max="1262" width="5.28515625" style="53" customWidth="1"/>
    <col min="1263" max="1263" width="5.85546875" style="53" bestFit="1" customWidth="1"/>
    <col min="1264" max="1264" width="16.42578125" style="53" customWidth="1"/>
    <col min="1265" max="1265" width="4.5703125" style="53" customWidth="1"/>
    <col min="1266" max="1266" width="14.140625" style="53" customWidth="1"/>
    <col min="1267" max="1267" width="27.140625" style="53" customWidth="1"/>
    <col min="1268" max="1268" width="16.28515625" style="53" customWidth="1"/>
    <col min="1269" max="1269" width="13.85546875" style="53" customWidth="1"/>
    <col min="1270" max="1512" width="9.140625" style="53"/>
    <col min="1513" max="1513" width="1.7109375" style="53" customWidth="1"/>
    <col min="1514" max="1515" width="4.7109375" style="53" customWidth="1"/>
    <col min="1516" max="1516" width="54.140625" style="53" customWidth="1"/>
    <col min="1517" max="1517" width="52" style="53" customWidth="1"/>
    <col min="1518" max="1518" width="5.28515625" style="53" customWidth="1"/>
    <col min="1519" max="1519" width="5.85546875" style="53" bestFit="1" customWidth="1"/>
    <col min="1520" max="1520" width="16.42578125" style="53" customWidth="1"/>
    <col min="1521" max="1521" width="4.5703125" style="53" customWidth="1"/>
    <col min="1522" max="1522" width="14.140625" style="53" customWidth="1"/>
    <col min="1523" max="1523" width="27.140625" style="53" customWidth="1"/>
    <col min="1524" max="1524" width="16.28515625" style="53" customWidth="1"/>
    <col min="1525" max="1525" width="13.85546875" style="53" customWidth="1"/>
    <col min="1526" max="1768" width="9.140625" style="53"/>
    <col min="1769" max="1769" width="1.7109375" style="53" customWidth="1"/>
    <col min="1770" max="1771" width="4.7109375" style="53" customWidth="1"/>
    <col min="1772" max="1772" width="54.140625" style="53" customWidth="1"/>
    <col min="1773" max="1773" width="52" style="53" customWidth="1"/>
    <col min="1774" max="1774" width="5.28515625" style="53" customWidth="1"/>
    <col min="1775" max="1775" width="5.85546875" style="53" bestFit="1" customWidth="1"/>
    <col min="1776" max="1776" width="16.42578125" style="53" customWidth="1"/>
    <col min="1777" max="1777" width="4.5703125" style="53" customWidth="1"/>
    <col min="1778" max="1778" width="14.140625" style="53" customWidth="1"/>
    <col min="1779" max="1779" width="27.140625" style="53" customWidth="1"/>
    <col min="1780" max="1780" width="16.28515625" style="53" customWidth="1"/>
    <col min="1781" max="1781" width="13.85546875" style="53" customWidth="1"/>
    <col min="1782" max="2024" width="9.140625" style="53"/>
    <col min="2025" max="2025" width="1.7109375" style="53" customWidth="1"/>
    <col min="2026" max="2027" width="4.7109375" style="53" customWidth="1"/>
    <col min="2028" max="2028" width="54.140625" style="53" customWidth="1"/>
    <col min="2029" max="2029" width="52" style="53" customWidth="1"/>
    <col min="2030" max="2030" width="5.28515625" style="53" customWidth="1"/>
    <col min="2031" max="2031" width="5.85546875" style="53" bestFit="1" customWidth="1"/>
    <col min="2032" max="2032" width="16.42578125" style="53" customWidth="1"/>
    <col min="2033" max="2033" width="4.5703125" style="53" customWidth="1"/>
    <col min="2034" max="2034" width="14.140625" style="53" customWidth="1"/>
    <col min="2035" max="2035" width="27.140625" style="53" customWidth="1"/>
    <col min="2036" max="2036" width="16.28515625" style="53" customWidth="1"/>
    <col min="2037" max="2037" width="13.85546875" style="53" customWidth="1"/>
    <col min="2038" max="2280" width="9.140625" style="53"/>
    <col min="2281" max="2281" width="1.7109375" style="53" customWidth="1"/>
    <col min="2282" max="2283" width="4.7109375" style="53" customWidth="1"/>
    <col min="2284" max="2284" width="54.140625" style="53" customWidth="1"/>
    <col min="2285" max="2285" width="52" style="53" customWidth="1"/>
    <col min="2286" max="2286" width="5.28515625" style="53" customWidth="1"/>
    <col min="2287" max="2287" width="5.85546875" style="53" bestFit="1" customWidth="1"/>
    <col min="2288" max="2288" width="16.42578125" style="53" customWidth="1"/>
    <col min="2289" max="2289" width="4.5703125" style="53" customWidth="1"/>
    <col min="2290" max="2290" width="14.140625" style="53" customWidth="1"/>
    <col min="2291" max="2291" width="27.140625" style="53" customWidth="1"/>
    <col min="2292" max="2292" width="16.28515625" style="53" customWidth="1"/>
    <col min="2293" max="2293" width="13.85546875" style="53" customWidth="1"/>
    <col min="2294" max="2536" width="9.140625" style="53"/>
    <col min="2537" max="2537" width="1.7109375" style="53" customWidth="1"/>
    <col min="2538" max="2539" width="4.7109375" style="53" customWidth="1"/>
    <col min="2540" max="2540" width="54.140625" style="53" customWidth="1"/>
    <col min="2541" max="2541" width="52" style="53" customWidth="1"/>
    <col min="2542" max="2542" width="5.28515625" style="53" customWidth="1"/>
    <col min="2543" max="2543" width="5.85546875" style="53" bestFit="1" customWidth="1"/>
    <col min="2544" max="2544" width="16.42578125" style="53" customWidth="1"/>
    <col min="2545" max="2545" width="4.5703125" style="53" customWidth="1"/>
    <col min="2546" max="2546" width="14.140625" style="53" customWidth="1"/>
    <col min="2547" max="2547" width="27.140625" style="53" customWidth="1"/>
    <col min="2548" max="2548" width="16.28515625" style="53" customWidth="1"/>
    <col min="2549" max="2549" width="13.85546875" style="53" customWidth="1"/>
    <col min="2550" max="2792" width="9.140625" style="53"/>
    <col min="2793" max="2793" width="1.7109375" style="53" customWidth="1"/>
    <col min="2794" max="2795" width="4.7109375" style="53" customWidth="1"/>
    <col min="2796" max="2796" width="54.140625" style="53" customWidth="1"/>
    <col min="2797" max="2797" width="52" style="53" customWidth="1"/>
    <col min="2798" max="2798" width="5.28515625" style="53" customWidth="1"/>
    <col min="2799" max="2799" width="5.85546875" style="53" bestFit="1" customWidth="1"/>
    <col min="2800" max="2800" width="16.42578125" style="53" customWidth="1"/>
    <col min="2801" max="2801" width="4.5703125" style="53" customWidth="1"/>
    <col min="2802" max="2802" width="14.140625" style="53" customWidth="1"/>
    <col min="2803" max="2803" width="27.140625" style="53" customWidth="1"/>
    <col min="2804" max="2804" width="16.28515625" style="53" customWidth="1"/>
    <col min="2805" max="2805" width="13.85546875" style="53" customWidth="1"/>
    <col min="2806" max="3048" width="9.140625" style="53"/>
    <col min="3049" max="3049" width="1.7109375" style="53" customWidth="1"/>
    <col min="3050" max="3051" width="4.7109375" style="53" customWidth="1"/>
    <col min="3052" max="3052" width="54.140625" style="53" customWidth="1"/>
    <col min="3053" max="3053" width="52" style="53" customWidth="1"/>
    <col min="3054" max="3054" width="5.28515625" style="53" customWidth="1"/>
    <col min="3055" max="3055" width="5.85546875" style="53" bestFit="1" customWidth="1"/>
    <col min="3056" max="3056" width="16.42578125" style="53" customWidth="1"/>
    <col min="3057" max="3057" width="4.5703125" style="53" customWidth="1"/>
    <col min="3058" max="3058" width="14.140625" style="53" customWidth="1"/>
    <col min="3059" max="3059" width="27.140625" style="53" customWidth="1"/>
    <col min="3060" max="3060" width="16.28515625" style="53" customWidth="1"/>
    <col min="3061" max="3061" width="13.85546875" style="53" customWidth="1"/>
    <col min="3062" max="3304" width="9.140625" style="53"/>
    <col min="3305" max="3305" width="1.7109375" style="53" customWidth="1"/>
    <col min="3306" max="3307" width="4.7109375" style="53" customWidth="1"/>
    <col min="3308" max="3308" width="54.140625" style="53" customWidth="1"/>
    <col min="3309" max="3309" width="52" style="53" customWidth="1"/>
    <col min="3310" max="3310" width="5.28515625" style="53" customWidth="1"/>
    <col min="3311" max="3311" width="5.85546875" style="53" bestFit="1" customWidth="1"/>
    <col min="3312" max="3312" width="16.42578125" style="53" customWidth="1"/>
    <col min="3313" max="3313" width="4.5703125" style="53" customWidth="1"/>
    <col min="3314" max="3314" width="14.140625" style="53" customWidth="1"/>
    <col min="3315" max="3315" width="27.140625" style="53" customWidth="1"/>
    <col min="3316" max="3316" width="16.28515625" style="53" customWidth="1"/>
    <col min="3317" max="3317" width="13.85546875" style="53" customWidth="1"/>
    <col min="3318" max="3560" width="9.140625" style="53"/>
    <col min="3561" max="3561" width="1.7109375" style="53" customWidth="1"/>
    <col min="3562" max="3563" width="4.7109375" style="53" customWidth="1"/>
    <col min="3564" max="3564" width="54.140625" style="53" customWidth="1"/>
    <col min="3565" max="3565" width="52" style="53" customWidth="1"/>
    <col min="3566" max="3566" width="5.28515625" style="53" customWidth="1"/>
    <col min="3567" max="3567" width="5.85546875" style="53" bestFit="1" customWidth="1"/>
    <col min="3568" max="3568" width="16.42578125" style="53" customWidth="1"/>
    <col min="3569" max="3569" width="4.5703125" style="53" customWidth="1"/>
    <col min="3570" max="3570" width="14.140625" style="53" customWidth="1"/>
    <col min="3571" max="3571" width="27.140625" style="53" customWidth="1"/>
    <col min="3572" max="3572" width="16.28515625" style="53" customWidth="1"/>
    <col min="3573" max="3573" width="13.85546875" style="53" customWidth="1"/>
    <col min="3574" max="3816" width="9.140625" style="53"/>
    <col min="3817" max="3817" width="1.7109375" style="53" customWidth="1"/>
    <col min="3818" max="3819" width="4.7109375" style="53" customWidth="1"/>
    <col min="3820" max="3820" width="54.140625" style="53" customWidth="1"/>
    <col min="3821" max="3821" width="52" style="53" customWidth="1"/>
    <col min="3822" max="3822" width="5.28515625" style="53" customWidth="1"/>
    <col min="3823" max="3823" width="5.85546875" style="53" bestFit="1" customWidth="1"/>
    <col min="3824" max="3824" width="16.42578125" style="53" customWidth="1"/>
    <col min="3825" max="3825" width="4.5703125" style="53" customWidth="1"/>
    <col min="3826" max="3826" width="14.140625" style="53" customWidth="1"/>
    <col min="3827" max="3827" width="27.140625" style="53" customWidth="1"/>
    <col min="3828" max="3828" width="16.28515625" style="53" customWidth="1"/>
    <col min="3829" max="3829" width="13.85546875" style="53" customWidth="1"/>
    <col min="3830" max="4072" width="9.140625" style="53"/>
    <col min="4073" max="4073" width="1.7109375" style="53" customWidth="1"/>
    <col min="4074" max="4075" width="4.7109375" style="53" customWidth="1"/>
    <col min="4076" max="4076" width="54.140625" style="53" customWidth="1"/>
    <col min="4077" max="4077" width="52" style="53" customWidth="1"/>
    <col min="4078" max="4078" width="5.28515625" style="53" customWidth="1"/>
    <col min="4079" max="4079" width="5.85546875" style="53" bestFit="1" customWidth="1"/>
    <col min="4080" max="4080" width="16.42578125" style="53" customWidth="1"/>
    <col min="4081" max="4081" width="4.5703125" style="53" customWidth="1"/>
    <col min="4082" max="4082" width="14.140625" style="53" customWidth="1"/>
    <col min="4083" max="4083" width="27.140625" style="53" customWidth="1"/>
    <col min="4084" max="4084" width="16.28515625" style="53" customWidth="1"/>
    <col min="4085" max="4085" width="13.85546875" style="53" customWidth="1"/>
    <col min="4086" max="4328" width="9.140625" style="53"/>
    <col min="4329" max="4329" width="1.7109375" style="53" customWidth="1"/>
    <col min="4330" max="4331" width="4.7109375" style="53" customWidth="1"/>
    <col min="4332" max="4332" width="54.140625" style="53" customWidth="1"/>
    <col min="4333" max="4333" width="52" style="53" customWidth="1"/>
    <col min="4334" max="4334" width="5.28515625" style="53" customWidth="1"/>
    <col min="4335" max="4335" width="5.85546875" style="53" bestFit="1" customWidth="1"/>
    <col min="4336" max="4336" width="16.42578125" style="53" customWidth="1"/>
    <col min="4337" max="4337" width="4.5703125" style="53" customWidth="1"/>
    <col min="4338" max="4338" width="14.140625" style="53" customWidth="1"/>
    <col min="4339" max="4339" width="27.140625" style="53" customWidth="1"/>
    <col min="4340" max="4340" width="16.28515625" style="53" customWidth="1"/>
    <col min="4341" max="4341" width="13.85546875" style="53" customWidth="1"/>
    <col min="4342" max="4584" width="9.140625" style="53"/>
    <col min="4585" max="4585" width="1.7109375" style="53" customWidth="1"/>
    <col min="4586" max="4587" width="4.7109375" style="53" customWidth="1"/>
    <col min="4588" max="4588" width="54.140625" style="53" customWidth="1"/>
    <col min="4589" max="4589" width="52" style="53" customWidth="1"/>
    <col min="4590" max="4590" width="5.28515625" style="53" customWidth="1"/>
    <col min="4591" max="4591" width="5.85546875" style="53" bestFit="1" customWidth="1"/>
    <col min="4592" max="4592" width="16.42578125" style="53" customWidth="1"/>
    <col min="4593" max="4593" width="4.5703125" style="53" customWidth="1"/>
    <col min="4594" max="4594" width="14.140625" style="53" customWidth="1"/>
    <col min="4595" max="4595" width="27.140625" style="53" customWidth="1"/>
    <col min="4596" max="4596" width="16.28515625" style="53" customWidth="1"/>
    <col min="4597" max="4597" width="13.85546875" style="53" customWidth="1"/>
    <col min="4598" max="4840" width="9.140625" style="53"/>
    <col min="4841" max="4841" width="1.7109375" style="53" customWidth="1"/>
    <col min="4842" max="4843" width="4.7109375" style="53" customWidth="1"/>
    <col min="4844" max="4844" width="54.140625" style="53" customWidth="1"/>
    <col min="4845" max="4845" width="52" style="53" customWidth="1"/>
    <col min="4846" max="4846" width="5.28515625" style="53" customWidth="1"/>
    <col min="4847" max="4847" width="5.85546875" style="53" bestFit="1" customWidth="1"/>
    <col min="4848" max="4848" width="16.42578125" style="53" customWidth="1"/>
    <col min="4849" max="4849" width="4.5703125" style="53" customWidth="1"/>
    <col min="4850" max="4850" width="14.140625" style="53" customWidth="1"/>
    <col min="4851" max="4851" width="27.140625" style="53" customWidth="1"/>
    <col min="4852" max="4852" width="16.28515625" style="53" customWidth="1"/>
    <col min="4853" max="4853" width="13.85546875" style="53" customWidth="1"/>
    <col min="4854" max="5096" width="9.140625" style="53"/>
    <col min="5097" max="5097" width="1.7109375" style="53" customWidth="1"/>
    <col min="5098" max="5099" width="4.7109375" style="53" customWidth="1"/>
    <col min="5100" max="5100" width="54.140625" style="53" customWidth="1"/>
    <col min="5101" max="5101" width="52" style="53" customWidth="1"/>
    <col min="5102" max="5102" width="5.28515625" style="53" customWidth="1"/>
    <col min="5103" max="5103" width="5.85546875" style="53" bestFit="1" customWidth="1"/>
    <col min="5104" max="5104" width="16.42578125" style="53" customWidth="1"/>
    <col min="5105" max="5105" width="4.5703125" style="53" customWidth="1"/>
    <col min="5106" max="5106" width="14.140625" style="53" customWidth="1"/>
    <col min="5107" max="5107" width="27.140625" style="53" customWidth="1"/>
    <col min="5108" max="5108" width="16.28515625" style="53" customWidth="1"/>
    <col min="5109" max="5109" width="13.85546875" style="53" customWidth="1"/>
    <col min="5110" max="5352" width="9.140625" style="53"/>
    <col min="5353" max="5353" width="1.7109375" style="53" customWidth="1"/>
    <col min="5354" max="5355" width="4.7109375" style="53" customWidth="1"/>
    <col min="5356" max="5356" width="54.140625" style="53" customWidth="1"/>
    <col min="5357" max="5357" width="52" style="53" customWidth="1"/>
    <col min="5358" max="5358" width="5.28515625" style="53" customWidth="1"/>
    <col min="5359" max="5359" width="5.85546875" style="53" bestFit="1" customWidth="1"/>
    <col min="5360" max="5360" width="16.42578125" style="53" customWidth="1"/>
    <col min="5361" max="5361" width="4.5703125" style="53" customWidth="1"/>
    <col min="5362" max="5362" width="14.140625" style="53" customWidth="1"/>
    <col min="5363" max="5363" width="27.140625" style="53" customWidth="1"/>
    <col min="5364" max="5364" width="16.28515625" style="53" customWidth="1"/>
    <col min="5365" max="5365" width="13.85546875" style="53" customWidth="1"/>
    <col min="5366" max="5608" width="9.140625" style="53"/>
    <col min="5609" max="5609" width="1.7109375" style="53" customWidth="1"/>
    <col min="5610" max="5611" width="4.7109375" style="53" customWidth="1"/>
    <col min="5612" max="5612" width="54.140625" style="53" customWidth="1"/>
    <col min="5613" max="5613" width="52" style="53" customWidth="1"/>
    <col min="5614" max="5614" width="5.28515625" style="53" customWidth="1"/>
    <col min="5615" max="5615" width="5.85546875" style="53" bestFit="1" customWidth="1"/>
    <col min="5616" max="5616" width="16.42578125" style="53" customWidth="1"/>
    <col min="5617" max="5617" width="4.5703125" style="53" customWidth="1"/>
    <col min="5618" max="5618" width="14.140625" style="53" customWidth="1"/>
    <col min="5619" max="5619" width="27.140625" style="53" customWidth="1"/>
    <col min="5620" max="5620" width="16.28515625" style="53" customWidth="1"/>
    <col min="5621" max="5621" width="13.85546875" style="53" customWidth="1"/>
    <col min="5622" max="5864" width="9.140625" style="53"/>
    <col min="5865" max="5865" width="1.7109375" style="53" customWidth="1"/>
    <col min="5866" max="5867" width="4.7109375" style="53" customWidth="1"/>
    <col min="5868" max="5868" width="54.140625" style="53" customWidth="1"/>
    <col min="5869" max="5869" width="52" style="53" customWidth="1"/>
    <col min="5870" max="5870" width="5.28515625" style="53" customWidth="1"/>
    <col min="5871" max="5871" width="5.85546875" style="53" bestFit="1" customWidth="1"/>
    <col min="5872" max="5872" width="16.42578125" style="53" customWidth="1"/>
    <col min="5873" max="5873" width="4.5703125" style="53" customWidth="1"/>
    <col min="5874" max="5874" width="14.140625" style="53" customWidth="1"/>
    <col min="5875" max="5875" width="27.140625" style="53" customWidth="1"/>
    <col min="5876" max="5876" width="16.28515625" style="53" customWidth="1"/>
    <col min="5877" max="5877" width="13.85546875" style="53" customWidth="1"/>
    <col min="5878" max="6120" width="9.140625" style="53"/>
    <col min="6121" max="6121" width="1.7109375" style="53" customWidth="1"/>
    <col min="6122" max="6123" width="4.7109375" style="53" customWidth="1"/>
    <col min="6124" max="6124" width="54.140625" style="53" customWidth="1"/>
    <col min="6125" max="6125" width="52" style="53" customWidth="1"/>
    <col min="6126" max="6126" width="5.28515625" style="53" customWidth="1"/>
    <col min="6127" max="6127" width="5.85546875" style="53" bestFit="1" customWidth="1"/>
    <col min="6128" max="6128" width="16.42578125" style="53" customWidth="1"/>
    <col min="6129" max="6129" width="4.5703125" style="53" customWidth="1"/>
    <col min="6130" max="6130" width="14.140625" style="53" customWidth="1"/>
    <col min="6131" max="6131" width="27.140625" style="53" customWidth="1"/>
    <col min="6132" max="6132" width="16.28515625" style="53" customWidth="1"/>
    <col min="6133" max="6133" width="13.85546875" style="53" customWidth="1"/>
    <col min="6134" max="6376" width="9.140625" style="53"/>
    <col min="6377" max="6377" width="1.7109375" style="53" customWidth="1"/>
    <col min="6378" max="6379" width="4.7109375" style="53" customWidth="1"/>
    <col min="6380" max="6380" width="54.140625" style="53" customWidth="1"/>
    <col min="6381" max="6381" width="52" style="53" customWidth="1"/>
    <col min="6382" max="6382" width="5.28515625" style="53" customWidth="1"/>
    <col min="6383" max="6383" width="5.85546875" style="53" bestFit="1" customWidth="1"/>
    <col min="6384" max="6384" width="16.42578125" style="53" customWidth="1"/>
    <col min="6385" max="6385" width="4.5703125" style="53" customWidth="1"/>
    <col min="6386" max="6386" width="14.140625" style="53" customWidth="1"/>
    <col min="6387" max="6387" width="27.140625" style="53" customWidth="1"/>
    <col min="6388" max="6388" width="16.28515625" style="53" customWidth="1"/>
    <col min="6389" max="6389" width="13.85546875" style="53" customWidth="1"/>
    <col min="6390" max="6632" width="9.140625" style="53"/>
    <col min="6633" max="6633" width="1.7109375" style="53" customWidth="1"/>
    <col min="6634" max="6635" width="4.7109375" style="53" customWidth="1"/>
    <col min="6636" max="6636" width="54.140625" style="53" customWidth="1"/>
    <col min="6637" max="6637" width="52" style="53" customWidth="1"/>
    <col min="6638" max="6638" width="5.28515625" style="53" customWidth="1"/>
    <col min="6639" max="6639" width="5.85546875" style="53" bestFit="1" customWidth="1"/>
    <col min="6640" max="6640" width="16.42578125" style="53" customWidth="1"/>
    <col min="6641" max="6641" width="4.5703125" style="53" customWidth="1"/>
    <col min="6642" max="6642" width="14.140625" style="53" customWidth="1"/>
    <col min="6643" max="6643" width="27.140625" style="53" customWidth="1"/>
    <col min="6644" max="6644" width="16.28515625" style="53" customWidth="1"/>
    <col min="6645" max="6645" width="13.85546875" style="53" customWidth="1"/>
    <col min="6646" max="6888" width="9.140625" style="53"/>
    <col min="6889" max="6889" width="1.7109375" style="53" customWidth="1"/>
    <col min="6890" max="6891" width="4.7109375" style="53" customWidth="1"/>
    <col min="6892" max="6892" width="54.140625" style="53" customWidth="1"/>
    <col min="6893" max="6893" width="52" style="53" customWidth="1"/>
    <col min="6894" max="6894" width="5.28515625" style="53" customWidth="1"/>
    <col min="6895" max="6895" width="5.85546875" style="53" bestFit="1" customWidth="1"/>
    <col min="6896" max="6896" width="16.42578125" style="53" customWidth="1"/>
    <col min="6897" max="6897" width="4.5703125" style="53" customWidth="1"/>
    <col min="6898" max="6898" width="14.140625" style="53" customWidth="1"/>
    <col min="6899" max="6899" width="27.140625" style="53" customWidth="1"/>
    <col min="6900" max="6900" width="16.28515625" style="53" customWidth="1"/>
    <col min="6901" max="6901" width="13.85546875" style="53" customWidth="1"/>
    <col min="6902" max="7144" width="9.140625" style="53"/>
    <col min="7145" max="7145" width="1.7109375" style="53" customWidth="1"/>
    <col min="7146" max="7147" width="4.7109375" style="53" customWidth="1"/>
    <col min="7148" max="7148" width="54.140625" style="53" customWidth="1"/>
    <col min="7149" max="7149" width="52" style="53" customWidth="1"/>
    <col min="7150" max="7150" width="5.28515625" style="53" customWidth="1"/>
    <col min="7151" max="7151" width="5.85546875" style="53" bestFit="1" customWidth="1"/>
    <col min="7152" max="7152" width="16.42578125" style="53" customWidth="1"/>
    <col min="7153" max="7153" width="4.5703125" style="53" customWidth="1"/>
    <col min="7154" max="7154" width="14.140625" style="53" customWidth="1"/>
    <col min="7155" max="7155" width="27.140625" style="53" customWidth="1"/>
    <col min="7156" max="7156" width="16.28515625" style="53" customWidth="1"/>
    <col min="7157" max="7157" width="13.85546875" style="53" customWidth="1"/>
    <col min="7158" max="7400" width="9.140625" style="53"/>
    <col min="7401" max="7401" width="1.7109375" style="53" customWidth="1"/>
    <col min="7402" max="7403" width="4.7109375" style="53" customWidth="1"/>
    <col min="7404" max="7404" width="54.140625" style="53" customWidth="1"/>
    <col min="7405" max="7405" width="52" style="53" customWidth="1"/>
    <col min="7406" max="7406" width="5.28515625" style="53" customWidth="1"/>
    <col min="7407" max="7407" width="5.85546875" style="53" bestFit="1" customWidth="1"/>
    <col min="7408" max="7408" width="16.42578125" style="53" customWidth="1"/>
    <col min="7409" max="7409" width="4.5703125" style="53" customWidth="1"/>
    <col min="7410" max="7410" width="14.140625" style="53" customWidth="1"/>
    <col min="7411" max="7411" width="27.140625" style="53" customWidth="1"/>
    <col min="7412" max="7412" width="16.28515625" style="53" customWidth="1"/>
    <col min="7413" max="7413" width="13.85546875" style="53" customWidth="1"/>
    <col min="7414" max="7656" width="9.140625" style="53"/>
    <col min="7657" max="7657" width="1.7109375" style="53" customWidth="1"/>
    <col min="7658" max="7659" width="4.7109375" style="53" customWidth="1"/>
    <col min="7660" max="7660" width="54.140625" style="53" customWidth="1"/>
    <col min="7661" max="7661" width="52" style="53" customWidth="1"/>
    <col min="7662" max="7662" width="5.28515625" style="53" customWidth="1"/>
    <col min="7663" max="7663" width="5.85546875" style="53" bestFit="1" customWidth="1"/>
    <col min="7664" max="7664" width="16.42578125" style="53" customWidth="1"/>
    <col min="7665" max="7665" width="4.5703125" style="53" customWidth="1"/>
    <col min="7666" max="7666" width="14.140625" style="53" customWidth="1"/>
    <col min="7667" max="7667" width="27.140625" style="53" customWidth="1"/>
    <col min="7668" max="7668" width="16.28515625" style="53" customWidth="1"/>
    <col min="7669" max="7669" width="13.85546875" style="53" customWidth="1"/>
    <col min="7670" max="7912" width="9.140625" style="53"/>
    <col min="7913" max="7913" width="1.7109375" style="53" customWidth="1"/>
    <col min="7914" max="7915" width="4.7109375" style="53" customWidth="1"/>
    <col min="7916" max="7916" width="54.140625" style="53" customWidth="1"/>
    <col min="7917" max="7917" width="52" style="53" customWidth="1"/>
    <col min="7918" max="7918" width="5.28515625" style="53" customWidth="1"/>
    <col min="7919" max="7919" width="5.85546875" style="53" bestFit="1" customWidth="1"/>
    <col min="7920" max="7920" width="16.42578125" style="53" customWidth="1"/>
    <col min="7921" max="7921" width="4.5703125" style="53" customWidth="1"/>
    <col min="7922" max="7922" width="14.140625" style="53" customWidth="1"/>
    <col min="7923" max="7923" width="27.140625" style="53" customWidth="1"/>
    <col min="7924" max="7924" width="16.28515625" style="53" customWidth="1"/>
    <col min="7925" max="7925" width="13.85546875" style="53" customWidth="1"/>
    <col min="7926" max="8168" width="9.140625" style="53"/>
    <col min="8169" max="8169" width="1.7109375" style="53" customWidth="1"/>
    <col min="8170" max="8171" width="4.7109375" style="53" customWidth="1"/>
    <col min="8172" max="8172" width="54.140625" style="53" customWidth="1"/>
    <col min="8173" max="8173" width="52" style="53" customWidth="1"/>
    <col min="8174" max="8174" width="5.28515625" style="53" customWidth="1"/>
    <col min="8175" max="8175" width="5.85546875" style="53" bestFit="1" customWidth="1"/>
    <col min="8176" max="8176" width="16.42578125" style="53" customWidth="1"/>
    <col min="8177" max="8177" width="4.5703125" style="53" customWidth="1"/>
    <col min="8178" max="8178" width="14.140625" style="53" customWidth="1"/>
    <col min="8179" max="8179" width="27.140625" style="53" customWidth="1"/>
    <col min="8180" max="8180" width="16.28515625" style="53" customWidth="1"/>
    <col min="8181" max="8181" width="13.85546875" style="53" customWidth="1"/>
    <col min="8182" max="8424" width="9.140625" style="53"/>
    <col min="8425" max="8425" width="1.7109375" style="53" customWidth="1"/>
    <col min="8426" max="8427" width="4.7109375" style="53" customWidth="1"/>
    <col min="8428" max="8428" width="54.140625" style="53" customWidth="1"/>
    <col min="8429" max="8429" width="52" style="53" customWidth="1"/>
    <col min="8430" max="8430" width="5.28515625" style="53" customWidth="1"/>
    <col min="8431" max="8431" width="5.85546875" style="53" bestFit="1" customWidth="1"/>
    <col min="8432" max="8432" width="16.42578125" style="53" customWidth="1"/>
    <col min="8433" max="8433" width="4.5703125" style="53" customWidth="1"/>
    <col min="8434" max="8434" width="14.140625" style="53" customWidth="1"/>
    <col min="8435" max="8435" width="27.140625" style="53" customWidth="1"/>
    <col min="8436" max="8436" width="16.28515625" style="53" customWidth="1"/>
    <col min="8437" max="8437" width="13.85546875" style="53" customWidth="1"/>
    <col min="8438" max="8680" width="9.140625" style="53"/>
    <col min="8681" max="8681" width="1.7109375" style="53" customWidth="1"/>
    <col min="8682" max="8683" width="4.7109375" style="53" customWidth="1"/>
    <col min="8684" max="8684" width="54.140625" style="53" customWidth="1"/>
    <col min="8685" max="8685" width="52" style="53" customWidth="1"/>
    <col min="8686" max="8686" width="5.28515625" style="53" customWidth="1"/>
    <col min="8687" max="8687" width="5.85546875" style="53" bestFit="1" customWidth="1"/>
    <col min="8688" max="8688" width="16.42578125" style="53" customWidth="1"/>
    <col min="8689" max="8689" width="4.5703125" style="53" customWidth="1"/>
    <col min="8690" max="8690" width="14.140625" style="53" customWidth="1"/>
    <col min="8691" max="8691" width="27.140625" style="53" customWidth="1"/>
    <col min="8692" max="8692" width="16.28515625" style="53" customWidth="1"/>
    <col min="8693" max="8693" width="13.85546875" style="53" customWidth="1"/>
    <col min="8694" max="8936" width="9.140625" style="53"/>
    <col min="8937" max="8937" width="1.7109375" style="53" customWidth="1"/>
    <col min="8938" max="8939" width="4.7109375" style="53" customWidth="1"/>
    <col min="8940" max="8940" width="54.140625" style="53" customWidth="1"/>
    <col min="8941" max="8941" width="52" style="53" customWidth="1"/>
    <col min="8942" max="8942" width="5.28515625" style="53" customWidth="1"/>
    <col min="8943" max="8943" width="5.85546875" style="53" bestFit="1" customWidth="1"/>
    <col min="8944" max="8944" width="16.42578125" style="53" customWidth="1"/>
    <col min="8945" max="8945" width="4.5703125" style="53" customWidth="1"/>
    <col min="8946" max="8946" width="14.140625" style="53" customWidth="1"/>
    <col min="8947" max="8947" width="27.140625" style="53" customWidth="1"/>
    <col min="8948" max="8948" width="16.28515625" style="53" customWidth="1"/>
    <col min="8949" max="8949" width="13.85546875" style="53" customWidth="1"/>
    <col min="8950" max="9192" width="9.140625" style="53"/>
    <col min="9193" max="9193" width="1.7109375" style="53" customWidth="1"/>
    <col min="9194" max="9195" width="4.7109375" style="53" customWidth="1"/>
    <col min="9196" max="9196" width="54.140625" style="53" customWidth="1"/>
    <col min="9197" max="9197" width="52" style="53" customWidth="1"/>
    <col min="9198" max="9198" width="5.28515625" style="53" customWidth="1"/>
    <col min="9199" max="9199" width="5.85546875" style="53" bestFit="1" customWidth="1"/>
    <col min="9200" max="9200" width="16.42578125" style="53" customWidth="1"/>
    <col min="9201" max="9201" width="4.5703125" style="53" customWidth="1"/>
    <col min="9202" max="9202" width="14.140625" style="53" customWidth="1"/>
    <col min="9203" max="9203" width="27.140625" style="53" customWidth="1"/>
    <col min="9204" max="9204" width="16.28515625" style="53" customWidth="1"/>
    <col min="9205" max="9205" width="13.85546875" style="53" customWidth="1"/>
    <col min="9206" max="9448" width="9.140625" style="53"/>
    <col min="9449" max="9449" width="1.7109375" style="53" customWidth="1"/>
    <col min="9450" max="9451" width="4.7109375" style="53" customWidth="1"/>
    <col min="9452" max="9452" width="54.140625" style="53" customWidth="1"/>
    <col min="9453" max="9453" width="52" style="53" customWidth="1"/>
    <col min="9454" max="9454" width="5.28515625" style="53" customWidth="1"/>
    <col min="9455" max="9455" width="5.85546875" style="53" bestFit="1" customWidth="1"/>
    <col min="9456" max="9456" width="16.42578125" style="53" customWidth="1"/>
    <col min="9457" max="9457" width="4.5703125" style="53" customWidth="1"/>
    <col min="9458" max="9458" width="14.140625" style="53" customWidth="1"/>
    <col min="9459" max="9459" width="27.140625" style="53" customWidth="1"/>
    <col min="9460" max="9460" width="16.28515625" style="53" customWidth="1"/>
    <col min="9461" max="9461" width="13.85546875" style="53" customWidth="1"/>
    <col min="9462" max="9704" width="9.140625" style="53"/>
    <col min="9705" max="9705" width="1.7109375" style="53" customWidth="1"/>
    <col min="9706" max="9707" width="4.7109375" style="53" customWidth="1"/>
    <col min="9708" max="9708" width="54.140625" style="53" customWidth="1"/>
    <col min="9709" max="9709" width="52" style="53" customWidth="1"/>
    <col min="9710" max="9710" width="5.28515625" style="53" customWidth="1"/>
    <col min="9711" max="9711" width="5.85546875" style="53" bestFit="1" customWidth="1"/>
    <col min="9712" max="9712" width="16.42578125" style="53" customWidth="1"/>
    <col min="9713" max="9713" width="4.5703125" style="53" customWidth="1"/>
    <col min="9714" max="9714" width="14.140625" style="53" customWidth="1"/>
    <col min="9715" max="9715" width="27.140625" style="53" customWidth="1"/>
    <col min="9716" max="9716" width="16.28515625" style="53" customWidth="1"/>
    <col min="9717" max="9717" width="13.85546875" style="53" customWidth="1"/>
    <col min="9718" max="9960" width="9.140625" style="53"/>
    <col min="9961" max="9961" width="1.7109375" style="53" customWidth="1"/>
    <col min="9962" max="9963" width="4.7109375" style="53" customWidth="1"/>
    <col min="9964" max="9964" width="54.140625" style="53" customWidth="1"/>
    <col min="9965" max="9965" width="52" style="53" customWidth="1"/>
    <col min="9966" max="9966" width="5.28515625" style="53" customWidth="1"/>
    <col min="9967" max="9967" width="5.85546875" style="53" bestFit="1" customWidth="1"/>
    <col min="9968" max="9968" width="16.42578125" style="53" customWidth="1"/>
    <col min="9969" max="9969" width="4.5703125" style="53" customWidth="1"/>
    <col min="9970" max="9970" width="14.140625" style="53" customWidth="1"/>
    <col min="9971" max="9971" width="27.140625" style="53" customWidth="1"/>
    <col min="9972" max="9972" width="16.28515625" style="53" customWidth="1"/>
    <col min="9973" max="9973" width="13.85546875" style="53" customWidth="1"/>
    <col min="9974" max="10216" width="9.140625" style="53"/>
    <col min="10217" max="10217" width="1.7109375" style="53" customWidth="1"/>
    <col min="10218" max="10219" width="4.7109375" style="53" customWidth="1"/>
    <col min="10220" max="10220" width="54.140625" style="53" customWidth="1"/>
    <col min="10221" max="10221" width="52" style="53" customWidth="1"/>
    <col min="10222" max="10222" width="5.28515625" style="53" customWidth="1"/>
    <col min="10223" max="10223" width="5.85546875" style="53" bestFit="1" customWidth="1"/>
    <col min="10224" max="10224" width="16.42578125" style="53" customWidth="1"/>
    <col min="10225" max="10225" width="4.5703125" style="53" customWidth="1"/>
    <col min="10226" max="10226" width="14.140625" style="53" customWidth="1"/>
    <col min="10227" max="10227" width="27.140625" style="53" customWidth="1"/>
    <col min="10228" max="10228" width="16.28515625" style="53" customWidth="1"/>
    <col min="10229" max="10229" width="13.85546875" style="53" customWidth="1"/>
    <col min="10230" max="10472" width="9.140625" style="53"/>
    <col min="10473" max="10473" width="1.7109375" style="53" customWidth="1"/>
    <col min="10474" max="10475" width="4.7109375" style="53" customWidth="1"/>
    <col min="10476" max="10476" width="54.140625" style="53" customWidth="1"/>
    <col min="10477" max="10477" width="52" style="53" customWidth="1"/>
    <col min="10478" max="10478" width="5.28515625" style="53" customWidth="1"/>
    <col min="10479" max="10479" width="5.85546875" style="53" bestFit="1" customWidth="1"/>
    <col min="10480" max="10480" width="16.42578125" style="53" customWidth="1"/>
    <col min="10481" max="10481" width="4.5703125" style="53" customWidth="1"/>
    <col min="10482" max="10482" width="14.140625" style="53" customWidth="1"/>
    <col min="10483" max="10483" width="27.140625" style="53" customWidth="1"/>
    <col min="10484" max="10484" width="16.28515625" style="53" customWidth="1"/>
    <col min="10485" max="10485" width="13.85546875" style="53" customWidth="1"/>
    <col min="10486" max="10728" width="9.140625" style="53"/>
    <col min="10729" max="10729" width="1.7109375" style="53" customWidth="1"/>
    <col min="10730" max="10731" width="4.7109375" style="53" customWidth="1"/>
    <col min="10732" max="10732" width="54.140625" style="53" customWidth="1"/>
    <col min="10733" max="10733" width="52" style="53" customWidth="1"/>
    <col min="10734" max="10734" width="5.28515625" style="53" customWidth="1"/>
    <col min="10735" max="10735" width="5.85546875" style="53" bestFit="1" customWidth="1"/>
    <col min="10736" max="10736" width="16.42578125" style="53" customWidth="1"/>
    <col min="10737" max="10737" width="4.5703125" style="53" customWidth="1"/>
    <col min="10738" max="10738" width="14.140625" style="53" customWidth="1"/>
    <col min="10739" max="10739" width="27.140625" style="53" customWidth="1"/>
    <col min="10740" max="10740" width="16.28515625" style="53" customWidth="1"/>
    <col min="10741" max="10741" width="13.85546875" style="53" customWidth="1"/>
    <col min="10742" max="10984" width="9.140625" style="53"/>
    <col min="10985" max="10985" width="1.7109375" style="53" customWidth="1"/>
    <col min="10986" max="10987" width="4.7109375" style="53" customWidth="1"/>
    <col min="10988" max="10988" width="54.140625" style="53" customWidth="1"/>
    <col min="10989" max="10989" width="52" style="53" customWidth="1"/>
    <col min="10990" max="10990" width="5.28515625" style="53" customWidth="1"/>
    <col min="10991" max="10991" width="5.85546875" style="53" bestFit="1" customWidth="1"/>
    <col min="10992" max="10992" width="16.42578125" style="53" customWidth="1"/>
    <col min="10993" max="10993" width="4.5703125" style="53" customWidth="1"/>
    <col min="10994" max="10994" width="14.140625" style="53" customWidth="1"/>
    <col min="10995" max="10995" width="27.140625" style="53" customWidth="1"/>
    <col min="10996" max="10996" width="16.28515625" style="53" customWidth="1"/>
    <col min="10997" max="10997" width="13.85546875" style="53" customWidth="1"/>
    <col min="10998" max="11240" width="9.140625" style="53"/>
    <col min="11241" max="11241" width="1.7109375" style="53" customWidth="1"/>
    <col min="11242" max="11243" width="4.7109375" style="53" customWidth="1"/>
    <col min="11244" max="11244" width="54.140625" style="53" customWidth="1"/>
    <col min="11245" max="11245" width="52" style="53" customWidth="1"/>
    <col min="11246" max="11246" width="5.28515625" style="53" customWidth="1"/>
    <col min="11247" max="11247" width="5.85546875" style="53" bestFit="1" customWidth="1"/>
    <col min="11248" max="11248" width="16.42578125" style="53" customWidth="1"/>
    <col min="11249" max="11249" width="4.5703125" style="53" customWidth="1"/>
    <col min="11250" max="11250" width="14.140625" style="53" customWidth="1"/>
    <col min="11251" max="11251" width="27.140625" style="53" customWidth="1"/>
    <col min="11252" max="11252" width="16.28515625" style="53" customWidth="1"/>
    <col min="11253" max="11253" width="13.85546875" style="53" customWidth="1"/>
    <col min="11254" max="11496" width="9.140625" style="53"/>
    <col min="11497" max="11497" width="1.7109375" style="53" customWidth="1"/>
    <col min="11498" max="11499" width="4.7109375" style="53" customWidth="1"/>
    <col min="11500" max="11500" width="54.140625" style="53" customWidth="1"/>
    <col min="11501" max="11501" width="52" style="53" customWidth="1"/>
    <col min="11502" max="11502" width="5.28515625" style="53" customWidth="1"/>
    <col min="11503" max="11503" width="5.85546875" style="53" bestFit="1" customWidth="1"/>
    <col min="11504" max="11504" width="16.42578125" style="53" customWidth="1"/>
    <col min="11505" max="11505" width="4.5703125" style="53" customWidth="1"/>
    <col min="11506" max="11506" width="14.140625" style="53" customWidth="1"/>
    <col min="11507" max="11507" width="27.140625" style="53" customWidth="1"/>
    <col min="11508" max="11508" width="16.28515625" style="53" customWidth="1"/>
    <col min="11509" max="11509" width="13.85546875" style="53" customWidth="1"/>
    <col min="11510" max="11752" width="9.140625" style="53"/>
    <col min="11753" max="11753" width="1.7109375" style="53" customWidth="1"/>
    <col min="11754" max="11755" width="4.7109375" style="53" customWidth="1"/>
    <col min="11756" max="11756" width="54.140625" style="53" customWidth="1"/>
    <col min="11757" max="11757" width="52" style="53" customWidth="1"/>
    <col min="11758" max="11758" width="5.28515625" style="53" customWidth="1"/>
    <col min="11759" max="11759" width="5.85546875" style="53" bestFit="1" customWidth="1"/>
    <col min="11760" max="11760" width="16.42578125" style="53" customWidth="1"/>
    <col min="11761" max="11761" width="4.5703125" style="53" customWidth="1"/>
    <col min="11762" max="11762" width="14.140625" style="53" customWidth="1"/>
    <col min="11763" max="11763" width="27.140625" style="53" customWidth="1"/>
    <col min="11764" max="11764" width="16.28515625" style="53" customWidth="1"/>
    <col min="11765" max="11765" width="13.85546875" style="53" customWidth="1"/>
    <col min="11766" max="12008" width="9.140625" style="53"/>
    <col min="12009" max="12009" width="1.7109375" style="53" customWidth="1"/>
    <col min="12010" max="12011" width="4.7109375" style="53" customWidth="1"/>
    <col min="12012" max="12012" width="54.140625" style="53" customWidth="1"/>
    <col min="12013" max="12013" width="52" style="53" customWidth="1"/>
    <col min="12014" max="12014" width="5.28515625" style="53" customWidth="1"/>
    <col min="12015" max="12015" width="5.85546875" style="53" bestFit="1" customWidth="1"/>
    <col min="12016" max="12016" width="16.42578125" style="53" customWidth="1"/>
    <col min="12017" max="12017" width="4.5703125" style="53" customWidth="1"/>
    <col min="12018" max="12018" width="14.140625" style="53" customWidth="1"/>
    <col min="12019" max="12019" width="27.140625" style="53" customWidth="1"/>
    <col min="12020" max="12020" width="16.28515625" style="53" customWidth="1"/>
    <col min="12021" max="12021" width="13.85546875" style="53" customWidth="1"/>
    <col min="12022" max="12264" width="9.140625" style="53"/>
    <col min="12265" max="12265" width="1.7109375" style="53" customWidth="1"/>
    <col min="12266" max="12267" width="4.7109375" style="53" customWidth="1"/>
    <col min="12268" max="12268" width="54.140625" style="53" customWidth="1"/>
    <col min="12269" max="12269" width="52" style="53" customWidth="1"/>
    <col min="12270" max="12270" width="5.28515625" style="53" customWidth="1"/>
    <col min="12271" max="12271" width="5.85546875" style="53" bestFit="1" customWidth="1"/>
    <col min="12272" max="12272" width="16.42578125" style="53" customWidth="1"/>
    <col min="12273" max="12273" width="4.5703125" style="53" customWidth="1"/>
    <col min="12274" max="12274" width="14.140625" style="53" customWidth="1"/>
    <col min="12275" max="12275" width="27.140625" style="53" customWidth="1"/>
    <col min="12276" max="12276" width="16.28515625" style="53" customWidth="1"/>
    <col min="12277" max="12277" width="13.85546875" style="53" customWidth="1"/>
    <col min="12278" max="12520" width="9.140625" style="53"/>
    <col min="12521" max="12521" width="1.7109375" style="53" customWidth="1"/>
    <col min="12522" max="12523" width="4.7109375" style="53" customWidth="1"/>
    <col min="12524" max="12524" width="54.140625" style="53" customWidth="1"/>
    <col min="12525" max="12525" width="52" style="53" customWidth="1"/>
    <col min="12526" max="12526" width="5.28515625" style="53" customWidth="1"/>
    <col min="12527" max="12527" width="5.85546875" style="53" bestFit="1" customWidth="1"/>
    <col min="12528" max="12528" width="16.42578125" style="53" customWidth="1"/>
    <col min="12529" max="12529" width="4.5703125" style="53" customWidth="1"/>
    <col min="12530" max="12530" width="14.140625" style="53" customWidth="1"/>
    <col min="12531" max="12531" width="27.140625" style="53" customWidth="1"/>
    <col min="12532" max="12532" width="16.28515625" style="53" customWidth="1"/>
    <col min="12533" max="12533" width="13.85546875" style="53" customWidth="1"/>
    <col min="12534" max="12776" width="9.140625" style="53"/>
    <col min="12777" max="12777" width="1.7109375" style="53" customWidth="1"/>
    <col min="12778" max="12779" width="4.7109375" style="53" customWidth="1"/>
    <col min="12780" max="12780" width="54.140625" style="53" customWidth="1"/>
    <col min="12781" max="12781" width="52" style="53" customWidth="1"/>
    <col min="12782" max="12782" width="5.28515625" style="53" customWidth="1"/>
    <col min="12783" max="12783" width="5.85546875" style="53" bestFit="1" customWidth="1"/>
    <col min="12784" max="12784" width="16.42578125" style="53" customWidth="1"/>
    <col min="12785" max="12785" width="4.5703125" style="53" customWidth="1"/>
    <col min="12786" max="12786" width="14.140625" style="53" customWidth="1"/>
    <col min="12787" max="12787" width="27.140625" style="53" customWidth="1"/>
    <col min="12788" max="12788" width="16.28515625" style="53" customWidth="1"/>
    <col min="12789" max="12789" width="13.85546875" style="53" customWidth="1"/>
    <col min="12790" max="13032" width="9.140625" style="53"/>
    <col min="13033" max="13033" width="1.7109375" style="53" customWidth="1"/>
    <col min="13034" max="13035" width="4.7109375" style="53" customWidth="1"/>
    <col min="13036" max="13036" width="54.140625" style="53" customWidth="1"/>
    <col min="13037" max="13037" width="52" style="53" customWidth="1"/>
    <col min="13038" max="13038" width="5.28515625" style="53" customWidth="1"/>
    <col min="13039" max="13039" width="5.85546875" style="53" bestFit="1" customWidth="1"/>
    <col min="13040" max="13040" width="16.42578125" style="53" customWidth="1"/>
    <col min="13041" max="13041" width="4.5703125" style="53" customWidth="1"/>
    <col min="13042" max="13042" width="14.140625" style="53" customWidth="1"/>
    <col min="13043" max="13043" width="27.140625" style="53" customWidth="1"/>
    <col min="13044" max="13044" width="16.28515625" style="53" customWidth="1"/>
    <col min="13045" max="13045" width="13.85546875" style="53" customWidth="1"/>
    <col min="13046" max="13288" width="9.140625" style="53"/>
    <col min="13289" max="13289" width="1.7109375" style="53" customWidth="1"/>
    <col min="13290" max="13291" width="4.7109375" style="53" customWidth="1"/>
    <col min="13292" max="13292" width="54.140625" style="53" customWidth="1"/>
    <col min="13293" max="13293" width="52" style="53" customWidth="1"/>
    <col min="13294" max="13294" width="5.28515625" style="53" customWidth="1"/>
    <col min="13295" max="13295" width="5.85546875" style="53" bestFit="1" customWidth="1"/>
    <col min="13296" max="13296" width="16.42578125" style="53" customWidth="1"/>
    <col min="13297" max="13297" width="4.5703125" style="53" customWidth="1"/>
    <col min="13298" max="13298" width="14.140625" style="53" customWidth="1"/>
    <col min="13299" max="13299" width="27.140625" style="53" customWidth="1"/>
    <col min="13300" max="13300" width="16.28515625" style="53" customWidth="1"/>
    <col min="13301" max="13301" width="13.85546875" style="53" customWidth="1"/>
    <col min="13302" max="13544" width="9.140625" style="53"/>
    <col min="13545" max="13545" width="1.7109375" style="53" customWidth="1"/>
    <col min="13546" max="13547" width="4.7109375" style="53" customWidth="1"/>
    <col min="13548" max="13548" width="54.140625" style="53" customWidth="1"/>
    <col min="13549" max="13549" width="52" style="53" customWidth="1"/>
    <col min="13550" max="13550" width="5.28515625" style="53" customWidth="1"/>
    <col min="13551" max="13551" width="5.85546875" style="53" bestFit="1" customWidth="1"/>
    <col min="13552" max="13552" width="16.42578125" style="53" customWidth="1"/>
    <col min="13553" max="13553" width="4.5703125" style="53" customWidth="1"/>
    <col min="13554" max="13554" width="14.140625" style="53" customWidth="1"/>
    <col min="13555" max="13555" width="27.140625" style="53" customWidth="1"/>
    <col min="13556" max="13556" width="16.28515625" style="53" customWidth="1"/>
    <col min="13557" max="13557" width="13.85546875" style="53" customWidth="1"/>
    <col min="13558" max="13800" width="9.140625" style="53"/>
    <col min="13801" max="13801" width="1.7109375" style="53" customWidth="1"/>
    <col min="13802" max="13803" width="4.7109375" style="53" customWidth="1"/>
    <col min="13804" max="13804" width="54.140625" style="53" customWidth="1"/>
    <col min="13805" max="13805" width="52" style="53" customWidth="1"/>
    <col min="13806" max="13806" width="5.28515625" style="53" customWidth="1"/>
    <col min="13807" max="13807" width="5.85546875" style="53" bestFit="1" customWidth="1"/>
    <col min="13808" max="13808" width="16.42578125" style="53" customWidth="1"/>
    <col min="13809" max="13809" width="4.5703125" style="53" customWidth="1"/>
    <col min="13810" max="13810" width="14.140625" style="53" customWidth="1"/>
    <col min="13811" max="13811" width="27.140625" style="53" customWidth="1"/>
    <col min="13812" max="13812" width="16.28515625" style="53" customWidth="1"/>
    <col min="13813" max="13813" width="13.85546875" style="53" customWidth="1"/>
    <col min="13814" max="14056" width="9.140625" style="53"/>
    <col min="14057" max="14057" width="1.7109375" style="53" customWidth="1"/>
    <col min="14058" max="14059" width="4.7109375" style="53" customWidth="1"/>
    <col min="14060" max="14060" width="54.140625" style="53" customWidth="1"/>
    <col min="14061" max="14061" width="52" style="53" customWidth="1"/>
    <col min="14062" max="14062" width="5.28515625" style="53" customWidth="1"/>
    <col min="14063" max="14063" width="5.85546875" style="53" bestFit="1" customWidth="1"/>
    <col min="14064" max="14064" width="16.42578125" style="53" customWidth="1"/>
    <col min="14065" max="14065" width="4.5703125" style="53" customWidth="1"/>
    <col min="14066" max="14066" width="14.140625" style="53" customWidth="1"/>
    <col min="14067" max="14067" width="27.140625" style="53" customWidth="1"/>
    <col min="14068" max="14068" width="16.28515625" style="53" customWidth="1"/>
    <col min="14069" max="14069" width="13.85546875" style="53" customWidth="1"/>
    <col min="14070" max="14312" width="9.140625" style="53"/>
    <col min="14313" max="14313" width="1.7109375" style="53" customWidth="1"/>
    <col min="14314" max="14315" width="4.7109375" style="53" customWidth="1"/>
    <col min="14316" max="14316" width="54.140625" style="53" customWidth="1"/>
    <col min="14317" max="14317" width="52" style="53" customWidth="1"/>
    <col min="14318" max="14318" width="5.28515625" style="53" customWidth="1"/>
    <col min="14319" max="14319" width="5.85546875" style="53" bestFit="1" customWidth="1"/>
    <col min="14320" max="14320" width="16.42578125" style="53" customWidth="1"/>
    <col min="14321" max="14321" width="4.5703125" style="53" customWidth="1"/>
    <col min="14322" max="14322" width="14.140625" style="53" customWidth="1"/>
    <col min="14323" max="14323" width="27.140625" style="53" customWidth="1"/>
    <col min="14324" max="14324" width="16.28515625" style="53" customWidth="1"/>
    <col min="14325" max="14325" width="13.85546875" style="53" customWidth="1"/>
    <col min="14326" max="14568" width="9.140625" style="53"/>
    <col min="14569" max="14569" width="1.7109375" style="53" customWidth="1"/>
    <col min="14570" max="14571" width="4.7109375" style="53" customWidth="1"/>
    <col min="14572" max="14572" width="54.140625" style="53" customWidth="1"/>
    <col min="14573" max="14573" width="52" style="53" customWidth="1"/>
    <col min="14574" max="14574" width="5.28515625" style="53" customWidth="1"/>
    <col min="14575" max="14575" width="5.85546875" style="53" bestFit="1" customWidth="1"/>
    <col min="14576" max="14576" width="16.42578125" style="53" customWidth="1"/>
    <col min="14577" max="14577" width="4.5703125" style="53" customWidth="1"/>
    <col min="14578" max="14578" width="14.140625" style="53" customWidth="1"/>
    <col min="14579" max="14579" width="27.140625" style="53" customWidth="1"/>
    <col min="14580" max="14580" width="16.28515625" style="53" customWidth="1"/>
    <col min="14581" max="14581" width="13.85546875" style="53" customWidth="1"/>
    <col min="14582" max="14824" width="9.140625" style="53"/>
    <col min="14825" max="14825" width="1.7109375" style="53" customWidth="1"/>
    <col min="14826" max="14827" width="4.7109375" style="53" customWidth="1"/>
    <col min="14828" max="14828" width="54.140625" style="53" customWidth="1"/>
    <col min="14829" max="14829" width="52" style="53" customWidth="1"/>
    <col min="14830" max="14830" width="5.28515625" style="53" customWidth="1"/>
    <col min="14831" max="14831" width="5.85546875" style="53" bestFit="1" customWidth="1"/>
    <col min="14832" max="14832" width="16.42578125" style="53" customWidth="1"/>
    <col min="14833" max="14833" width="4.5703125" style="53" customWidth="1"/>
    <col min="14834" max="14834" width="14.140625" style="53" customWidth="1"/>
    <col min="14835" max="14835" width="27.140625" style="53" customWidth="1"/>
    <col min="14836" max="14836" width="16.28515625" style="53" customWidth="1"/>
    <col min="14837" max="14837" width="13.85546875" style="53" customWidth="1"/>
    <col min="14838" max="15080" width="9.140625" style="53"/>
    <col min="15081" max="15081" width="1.7109375" style="53" customWidth="1"/>
    <col min="15082" max="15083" width="4.7109375" style="53" customWidth="1"/>
    <col min="15084" max="15084" width="54.140625" style="53" customWidth="1"/>
    <col min="15085" max="15085" width="52" style="53" customWidth="1"/>
    <col min="15086" max="15086" width="5.28515625" style="53" customWidth="1"/>
    <col min="15087" max="15087" width="5.85546875" style="53" bestFit="1" customWidth="1"/>
    <col min="15088" max="15088" width="16.42578125" style="53" customWidth="1"/>
    <col min="15089" max="15089" width="4.5703125" style="53" customWidth="1"/>
    <col min="15090" max="15090" width="14.140625" style="53" customWidth="1"/>
    <col min="15091" max="15091" width="27.140625" style="53" customWidth="1"/>
    <col min="15092" max="15092" width="16.28515625" style="53" customWidth="1"/>
    <col min="15093" max="15093" width="13.85546875" style="53" customWidth="1"/>
    <col min="15094" max="15336" width="9.140625" style="53"/>
    <col min="15337" max="15337" width="1.7109375" style="53" customWidth="1"/>
    <col min="15338" max="15339" width="4.7109375" style="53" customWidth="1"/>
    <col min="15340" max="15340" width="54.140625" style="53" customWidth="1"/>
    <col min="15341" max="15341" width="52" style="53" customWidth="1"/>
    <col min="15342" max="15342" width="5.28515625" style="53" customWidth="1"/>
    <col min="15343" max="15343" width="5.85546875" style="53" bestFit="1" customWidth="1"/>
    <col min="15344" max="15344" width="16.42578125" style="53" customWidth="1"/>
    <col min="15345" max="15345" width="4.5703125" style="53" customWidth="1"/>
    <col min="15346" max="15346" width="14.140625" style="53" customWidth="1"/>
    <col min="15347" max="15347" width="27.140625" style="53" customWidth="1"/>
    <col min="15348" max="15348" width="16.28515625" style="53" customWidth="1"/>
    <col min="15349" max="15349" width="13.85546875" style="53" customWidth="1"/>
    <col min="15350" max="15592" width="9.140625" style="53"/>
    <col min="15593" max="15593" width="1.7109375" style="53" customWidth="1"/>
    <col min="15594" max="15595" width="4.7109375" style="53" customWidth="1"/>
    <col min="15596" max="15596" width="54.140625" style="53" customWidth="1"/>
    <col min="15597" max="15597" width="52" style="53" customWidth="1"/>
    <col min="15598" max="15598" width="5.28515625" style="53" customWidth="1"/>
    <col min="15599" max="15599" width="5.85546875" style="53" bestFit="1" customWidth="1"/>
    <col min="15600" max="15600" width="16.42578125" style="53" customWidth="1"/>
    <col min="15601" max="15601" width="4.5703125" style="53" customWidth="1"/>
    <col min="15602" max="15602" width="14.140625" style="53" customWidth="1"/>
    <col min="15603" max="15603" width="27.140625" style="53" customWidth="1"/>
    <col min="15604" max="15604" width="16.28515625" style="53" customWidth="1"/>
    <col min="15605" max="15605" width="13.85546875" style="53" customWidth="1"/>
    <col min="15606" max="15848" width="9.140625" style="53"/>
    <col min="15849" max="15849" width="1.7109375" style="53" customWidth="1"/>
    <col min="15850" max="15851" width="4.7109375" style="53" customWidth="1"/>
    <col min="15852" max="15852" width="54.140625" style="53" customWidth="1"/>
    <col min="15853" max="15853" width="52" style="53" customWidth="1"/>
    <col min="15854" max="15854" width="5.28515625" style="53" customWidth="1"/>
    <col min="15855" max="15855" width="5.85546875" style="53" bestFit="1" customWidth="1"/>
    <col min="15856" max="15856" width="16.42578125" style="53" customWidth="1"/>
    <col min="15857" max="15857" width="4.5703125" style="53" customWidth="1"/>
    <col min="15858" max="15858" width="14.140625" style="53" customWidth="1"/>
    <col min="15859" max="15859" width="27.140625" style="53" customWidth="1"/>
    <col min="15860" max="15860" width="16.28515625" style="53" customWidth="1"/>
    <col min="15861" max="15861" width="13.85546875" style="53" customWidth="1"/>
    <col min="15862" max="16104" width="9.140625" style="53"/>
    <col min="16105" max="16105" width="1.7109375" style="53" customWidth="1"/>
    <col min="16106" max="16107" width="4.7109375" style="53" customWidth="1"/>
    <col min="16108" max="16108" width="54.140625" style="53" customWidth="1"/>
    <col min="16109" max="16109" width="52" style="53" customWidth="1"/>
    <col min="16110" max="16110" width="5.28515625" style="53" customWidth="1"/>
    <col min="16111" max="16111" width="5.85546875" style="53" bestFit="1" customWidth="1"/>
    <col min="16112" max="16112" width="16.42578125" style="53" customWidth="1"/>
    <col min="16113" max="16113" width="4.5703125" style="53" customWidth="1"/>
    <col min="16114" max="16114" width="14.140625" style="53" customWidth="1"/>
    <col min="16115" max="16115" width="27.140625" style="53" customWidth="1"/>
    <col min="16116" max="16116" width="16.28515625" style="53" customWidth="1"/>
    <col min="16117" max="16117" width="13.85546875" style="53" customWidth="1"/>
    <col min="16118" max="16384" width="9.140625" style="53"/>
  </cols>
  <sheetData>
    <row r="1" spans="2:17" ht="15" customHeight="1" x14ac:dyDescent="0.25"/>
    <row r="2" spans="2:17" s="5" customFormat="1" ht="15.75" hidden="1" x14ac:dyDescent="0.25">
      <c r="B2" s="2"/>
      <c r="C2" s="1645" t="s">
        <v>431</v>
      </c>
      <c r="D2" s="1645"/>
      <c r="E2" s="1645"/>
      <c r="F2" s="1645"/>
      <c r="G2" s="1645"/>
      <c r="H2" s="1645"/>
      <c r="I2" s="1645"/>
      <c r="J2" s="1645"/>
      <c r="K2" s="1645"/>
      <c r="L2" s="451"/>
      <c r="M2" s="451"/>
      <c r="N2" s="3"/>
    </row>
    <row r="3" spans="2:17" s="5" customFormat="1" ht="13.5" customHeight="1" x14ac:dyDescent="0.25">
      <c r="B3" s="2"/>
      <c r="C3" s="1646" t="s">
        <v>0</v>
      </c>
      <c r="D3" s="1646"/>
      <c r="E3" s="1646"/>
      <c r="F3" s="1646"/>
      <c r="G3" s="1646"/>
      <c r="H3" s="1646"/>
      <c r="I3" s="1646"/>
      <c r="J3" s="1646"/>
      <c r="K3" s="1646"/>
      <c r="L3" s="1646"/>
      <c r="M3" s="681"/>
      <c r="N3" s="481"/>
    </row>
    <row r="4" spans="2:17" s="4" customFormat="1" ht="14.25" customHeight="1" x14ac:dyDescent="0.25">
      <c r="B4" s="2"/>
      <c r="C4" s="1646" t="s">
        <v>1</v>
      </c>
      <c r="D4" s="1646"/>
      <c r="E4" s="1646"/>
      <c r="F4" s="1646"/>
      <c r="G4" s="1646"/>
      <c r="H4" s="1646"/>
      <c r="I4" s="1646"/>
      <c r="J4" s="1646"/>
      <c r="K4" s="1646"/>
      <c r="L4" s="1646"/>
      <c r="M4" s="681"/>
      <c r="N4" s="481"/>
    </row>
    <row r="5" spans="2:17" s="4" customFormat="1" ht="15.75" x14ac:dyDescent="0.25">
      <c r="B5" s="2"/>
      <c r="C5" s="452"/>
      <c r="D5" s="453"/>
      <c r="E5" s="453"/>
      <c r="F5" s="453"/>
      <c r="G5" s="454"/>
      <c r="H5" s="455"/>
      <c r="I5" s="456"/>
      <c r="J5" s="457"/>
      <c r="K5" s="457"/>
      <c r="L5" s="458"/>
      <c r="M5" s="456"/>
      <c r="N5" s="484"/>
    </row>
    <row r="6" spans="2:17" s="4" customFormat="1" ht="18" customHeight="1" x14ac:dyDescent="0.25">
      <c r="B6" s="2"/>
      <c r="C6" s="1647" t="s">
        <v>2</v>
      </c>
      <c r="D6" s="1647"/>
      <c r="E6" s="1505" t="s">
        <v>3</v>
      </c>
      <c r="F6" s="1505"/>
      <c r="G6" s="1505"/>
      <c r="H6" s="459"/>
      <c r="I6" s="456"/>
      <c r="J6" s="457"/>
      <c r="K6" s="457"/>
      <c r="L6" s="458"/>
      <c r="M6" s="456"/>
      <c r="N6" s="484"/>
    </row>
    <row r="7" spans="2:17" s="4" customFormat="1" ht="8.25" customHeight="1" thickBot="1" x14ac:dyDescent="0.3">
      <c r="B7" s="2"/>
      <c r="C7" s="6"/>
      <c r="D7" s="8"/>
      <c r="E7" s="8"/>
      <c r="F7" s="8"/>
      <c r="G7" s="9"/>
      <c r="H7" s="10"/>
      <c r="I7" s="11"/>
      <c r="J7" s="12"/>
      <c r="K7" s="12"/>
      <c r="L7" s="7"/>
      <c r="M7" s="11"/>
      <c r="N7" s="484"/>
    </row>
    <row r="8" spans="2:17" s="15" customFormat="1" ht="32.25" customHeight="1" thickTop="1" x14ac:dyDescent="0.25">
      <c r="B8" s="13"/>
      <c r="C8" s="1648" t="s">
        <v>433</v>
      </c>
      <c r="D8" s="1649"/>
      <c r="E8" s="1650"/>
      <c r="F8" s="1654" t="s">
        <v>418</v>
      </c>
      <c r="G8" s="1650"/>
      <c r="H8" s="1656" t="s">
        <v>417</v>
      </c>
      <c r="I8" s="1658" t="s">
        <v>419</v>
      </c>
      <c r="J8" s="1662" t="s">
        <v>502</v>
      </c>
      <c r="K8" s="1666" t="s">
        <v>488</v>
      </c>
      <c r="L8" s="14"/>
      <c r="M8" s="1643" t="s">
        <v>469</v>
      </c>
      <c r="N8" s="441" t="s">
        <v>426</v>
      </c>
      <c r="O8" s="16"/>
    </row>
    <row r="9" spans="2:17" s="15" customFormat="1" x14ac:dyDescent="0.25">
      <c r="B9" s="13"/>
      <c r="C9" s="1651"/>
      <c r="D9" s="1652"/>
      <c r="E9" s="1653"/>
      <c r="F9" s="1655"/>
      <c r="G9" s="1653"/>
      <c r="H9" s="1657"/>
      <c r="I9" s="1659"/>
      <c r="J9" s="1663"/>
      <c r="K9" s="1667"/>
      <c r="L9" s="14"/>
      <c r="M9" s="1644"/>
      <c r="N9" s="14"/>
      <c r="Q9" s="17"/>
    </row>
    <row r="10" spans="2:17" s="15" customFormat="1" ht="19.5" customHeight="1" x14ac:dyDescent="0.25">
      <c r="B10" s="13"/>
      <c r="C10" s="1632">
        <v>1</v>
      </c>
      <c r="D10" s="1633"/>
      <c r="E10" s="1634"/>
      <c r="F10" s="1635">
        <v>2</v>
      </c>
      <c r="G10" s="1636"/>
      <c r="H10" s="18">
        <v>3</v>
      </c>
      <c r="I10" s="18">
        <v>4</v>
      </c>
      <c r="J10" s="607">
        <v>5</v>
      </c>
      <c r="K10" s="19">
        <v>5</v>
      </c>
      <c r="L10" s="20"/>
      <c r="M10" s="507"/>
      <c r="N10" s="20"/>
      <c r="O10" s="21">
        <v>307965438271</v>
      </c>
      <c r="Q10" s="17"/>
    </row>
    <row r="11" spans="2:17" s="29" customFormat="1" ht="29.25" customHeight="1" x14ac:dyDescent="0.25">
      <c r="B11" s="13"/>
      <c r="C11" s="22"/>
      <c r="D11" s="1635" t="s">
        <v>4</v>
      </c>
      <c r="E11" s="1637"/>
      <c r="F11" s="1637"/>
      <c r="G11" s="1636"/>
      <c r="H11" s="23"/>
      <c r="I11" s="24"/>
      <c r="J11" s="608">
        <f>J12+J51</f>
        <v>307965438271</v>
      </c>
      <c r="K11" s="25">
        <f>K12+K51</f>
        <v>307965438271</v>
      </c>
      <c r="L11" s="26"/>
      <c r="M11" s="508"/>
      <c r="N11" s="485">
        <f>SUM(N12:N246)</f>
        <v>1200000000</v>
      </c>
      <c r="O11" s="27">
        <f>O10-K11</f>
        <v>0</v>
      </c>
      <c r="P11" s="28"/>
    </row>
    <row r="12" spans="2:17" s="15" customFormat="1" ht="30" customHeight="1" x14ac:dyDescent="0.25">
      <c r="B12" s="13"/>
      <c r="C12" s="30"/>
      <c r="D12" s="1638" t="s">
        <v>487</v>
      </c>
      <c r="E12" s="1638"/>
      <c r="F12" s="1638"/>
      <c r="G12" s="1638"/>
      <c r="H12" s="1638"/>
      <c r="I12" s="1639"/>
      <c r="J12" s="609">
        <f>J13+J24+J39+J42+J45</f>
        <v>11438515300</v>
      </c>
      <c r="K12" s="31">
        <f>K13+K24+K39+K42+K45</f>
        <v>11438515300</v>
      </c>
      <c r="L12" s="32"/>
      <c r="M12" s="509"/>
      <c r="N12" s="486"/>
      <c r="O12" s="33"/>
      <c r="P12" s="17"/>
    </row>
    <row r="13" spans="2:17" s="15" customFormat="1" ht="21" customHeight="1" x14ac:dyDescent="0.25">
      <c r="B13" s="13"/>
      <c r="C13" s="34" t="s">
        <v>432</v>
      </c>
      <c r="D13" s="1640" t="s">
        <v>6</v>
      </c>
      <c r="E13" s="1641"/>
      <c r="F13" s="1641"/>
      <c r="G13" s="1642"/>
      <c r="H13" s="35" t="s">
        <v>7</v>
      </c>
      <c r="I13" s="36"/>
      <c r="J13" s="610">
        <f>J20+J15+J16+J17+J18+J21+J22+J14+J19</f>
        <v>5166573300</v>
      </c>
      <c r="K13" s="37">
        <f>K20+K15+K16+K17+K18+K21+K22+K14+K19</f>
        <v>5166573300</v>
      </c>
      <c r="L13" s="38"/>
      <c r="M13" s="510"/>
      <c r="N13" s="487"/>
    </row>
    <row r="14" spans="2:17" s="62" customFormat="1" ht="27" customHeight="1" x14ac:dyDescent="0.25">
      <c r="B14" s="59"/>
      <c r="C14" s="39"/>
      <c r="D14" s="140" t="s">
        <v>5</v>
      </c>
      <c r="E14" s="1623" t="s">
        <v>9</v>
      </c>
      <c r="F14" s="1624"/>
      <c r="G14" s="1625"/>
      <c r="H14" s="745" t="s">
        <v>497</v>
      </c>
      <c r="I14" s="746">
        <v>1</v>
      </c>
      <c r="J14" s="611">
        <v>755192500</v>
      </c>
      <c r="K14" s="43">
        <f>755192500</f>
        <v>755192500</v>
      </c>
      <c r="L14" s="44"/>
      <c r="M14" s="747"/>
      <c r="N14" s="488"/>
    </row>
    <row r="15" spans="2:17" s="62" customFormat="1" ht="26.25" customHeight="1" x14ac:dyDescent="0.25">
      <c r="B15" s="59"/>
      <c r="C15" s="39"/>
      <c r="D15" s="79" t="s">
        <v>10</v>
      </c>
      <c r="E15" s="1623" t="s">
        <v>11</v>
      </c>
      <c r="F15" s="1624"/>
      <c r="G15" s="1625"/>
      <c r="H15" s="837" t="s">
        <v>12</v>
      </c>
      <c r="I15" s="746">
        <v>1</v>
      </c>
      <c r="J15" s="612">
        <v>1921800000</v>
      </c>
      <c r="K15" s="47">
        <v>1921800000</v>
      </c>
      <c r="L15" s="44"/>
      <c r="M15" s="747"/>
      <c r="N15" s="488"/>
    </row>
    <row r="16" spans="2:17" s="62" customFormat="1" ht="26.25" customHeight="1" x14ac:dyDescent="0.25">
      <c r="B16" s="59"/>
      <c r="C16" s="39"/>
      <c r="D16" s="140" t="s">
        <v>13</v>
      </c>
      <c r="E16" s="1623" t="s">
        <v>14</v>
      </c>
      <c r="F16" s="1624"/>
      <c r="G16" s="1625"/>
      <c r="H16" s="837" t="s">
        <v>15</v>
      </c>
      <c r="I16" s="746">
        <v>1</v>
      </c>
      <c r="J16" s="612">
        <f>1968500000-21419200</f>
        <v>1947080800</v>
      </c>
      <c r="K16" s="47">
        <f>1968500000-21419200</f>
        <v>1947080800</v>
      </c>
      <c r="L16" s="44"/>
      <c r="M16" s="747"/>
      <c r="N16" s="488"/>
    </row>
    <row r="17" spans="2:15" s="29" customFormat="1" ht="20.25" customHeight="1" x14ac:dyDescent="0.25">
      <c r="B17" s="13"/>
      <c r="C17" s="39"/>
      <c r="D17" s="140" t="s">
        <v>16</v>
      </c>
      <c r="E17" s="1584" t="s">
        <v>17</v>
      </c>
      <c r="F17" s="1585"/>
      <c r="G17" s="1586"/>
      <c r="H17" s="46" t="s">
        <v>18</v>
      </c>
      <c r="I17" s="42">
        <v>1</v>
      </c>
      <c r="J17" s="612">
        <v>200000000</v>
      </c>
      <c r="K17" s="47">
        <v>200000000</v>
      </c>
      <c r="L17" s="44"/>
      <c r="M17" s="511"/>
      <c r="N17" s="488"/>
    </row>
    <row r="18" spans="2:15" s="29" customFormat="1" ht="20.25" customHeight="1" x14ac:dyDescent="0.25">
      <c r="B18" s="13"/>
      <c r="C18" s="39"/>
      <c r="D18" s="140" t="s">
        <v>19</v>
      </c>
      <c r="E18" s="1584" t="s">
        <v>20</v>
      </c>
      <c r="F18" s="1585"/>
      <c r="G18" s="1586"/>
      <c r="H18" s="46" t="s">
        <v>21</v>
      </c>
      <c r="I18" s="42">
        <v>1</v>
      </c>
      <c r="J18" s="612">
        <f>238307500-65807500</f>
        <v>172500000</v>
      </c>
      <c r="K18" s="47">
        <f>238307500-65807500</f>
        <v>172500000</v>
      </c>
      <c r="L18" s="44"/>
      <c r="M18" s="511"/>
      <c r="N18" s="488"/>
    </row>
    <row r="19" spans="2:15" s="29" customFormat="1" ht="20.25" customHeight="1" x14ac:dyDescent="0.25">
      <c r="B19" s="13"/>
      <c r="C19" s="39"/>
      <c r="D19" s="140" t="s">
        <v>27</v>
      </c>
      <c r="E19" s="1605" t="s">
        <v>23</v>
      </c>
      <c r="F19" s="1606"/>
      <c r="G19" s="1607"/>
      <c r="H19" s="48" t="s">
        <v>24</v>
      </c>
      <c r="I19" s="42">
        <v>1</v>
      </c>
      <c r="J19" s="612">
        <v>100000000</v>
      </c>
      <c r="K19" s="47">
        <v>100000000</v>
      </c>
      <c r="L19" s="44"/>
      <c r="M19" s="511"/>
      <c r="N19" s="488"/>
    </row>
    <row r="20" spans="2:15" s="29" customFormat="1" ht="30" customHeight="1" x14ac:dyDescent="0.25">
      <c r="B20" s="13"/>
      <c r="C20" s="49"/>
      <c r="D20" s="79" t="s">
        <v>30</v>
      </c>
      <c r="E20" s="1584" t="s">
        <v>25</v>
      </c>
      <c r="F20" s="1585"/>
      <c r="G20" s="1586"/>
      <c r="H20" s="50" t="s">
        <v>26</v>
      </c>
      <c r="I20" s="51">
        <v>1</v>
      </c>
      <c r="J20" s="613">
        <v>10000000</v>
      </c>
      <c r="K20" s="52">
        <v>10000000</v>
      </c>
      <c r="L20" s="44"/>
      <c r="M20" s="512"/>
      <c r="N20" s="488"/>
    </row>
    <row r="21" spans="2:15" s="29" customFormat="1" ht="17.25" customHeight="1" x14ac:dyDescent="0.25">
      <c r="B21" s="13"/>
      <c r="C21" s="39"/>
      <c r="D21" s="140" t="s">
        <v>8</v>
      </c>
      <c r="E21" s="1584" t="s">
        <v>28</v>
      </c>
      <c r="F21" s="1585"/>
      <c r="G21" s="1586"/>
      <c r="H21" s="46" t="s">
        <v>29</v>
      </c>
      <c r="I21" s="42">
        <v>1</v>
      </c>
      <c r="J21" s="612">
        <f>40000000-10000000</f>
        <v>30000000</v>
      </c>
      <c r="K21" s="47">
        <f>40000000-10000000</f>
        <v>30000000</v>
      </c>
      <c r="L21" s="44"/>
      <c r="M21" s="511"/>
      <c r="N21" s="488"/>
    </row>
    <row r="22" spans="2:15" s="29" customFormat="1" ht="27" customHeight="1" x14ac:dyDescent="0.25">
      <c r="B22" s="13"/>
      <c r="C22" s="39"/>
      <c r="D22" s="140" t="s">
        <v>22</v>
      </c>
      <c r="E22" s="1584" t="s">
        <v>31</v>
      </c>
      <c r="F22" s="1585"/>
      <c r="G22" s="1586"/>
      <c r="H22" s="46" t="s">
        <v>32</v>
      </c>
      <c r="I22" s="42">
        <v>1</v>
      </c>
      <c r="J22" s="612">
        <f>30000000</f>
        <v>30000000</v>
      </c>
      <c r="K22" s="47">
        <f>30000000</f>
        <v>30000000</v>
      </c>
      <c r="L22" s="44"/>
      <c r="M22" s="511"/>
      <c r="N22" s="488"/>
    </row>
    <row r="23" spans="2:15" s="29" customFormat="1" ht="3.75" customHeight="1" x14ac:dyDescent="0.25">
      <c r="B23" s="13"/>
      <c r="C23" s="54"/>
      <c r="D23" s="55"/>
      <c r="E23" s="677"/>
      <c r="F23" s="1614"/>
      <c r="G23" s="1615"/>
      <c r="H23" s="56"/>
      <c r="I23" s="57"/>
      <c r="J23" s="614"/>
      <c r="K23" s="58"/>
      <c r="L23" s="44"/>
      <c r="M23" s="513"/>
      <c r="N23" s="488"/>
    </row>
    <row r="24" spans="2:15" s="29" customFormat="1" ht="26.25" customHeight="1" x14ac:dyDescent="0.25">
      <c r="B24" s="13"/>
      <c r="C24" s="34" t="s">
        <v>434</v>
      </c>
      <c r="D24" s="1640" t="s">
        <v>35</v>
      </c>
      <c r="E24" s="1641"/>
      <c r="F24" s="1641"/>
      <c r="G24" s="1642"/>
      <c r="H24" s="35" t="s">
        <v>36</v>
      </c>
      <c r="I24" s="36"/>
      <c r="J24" s="610">
        <f>J25+J26+J27+J28+J29+J32+J35+J36+J37</f>
        <v>4220250000</v>
      </c>
      <c r="K24" s="37">
        <f>K25+K26+K27+K28+K29+K32+K35+K36+K37</f>
        <v>4220250000</v>
      </c>
      <c r="L24" s="38"/>
      <c r="M24" s="510"/>
      <c r="N24" s="487"/>
    </row>
    <row r="25" spans="2:15" s="62" customFormat="1" ht="21" customHeight="1" x14ac:dyDescent="0.25">
      <c r="B25" s="59"/>
      <c r="C25" s="39"/>
      <c r="D25" s="140" t="s">
        <v>5</v>
      </c>
      <c r="E25" s="1529" t="s">
        <v>37</v>
      </c>
      <c r="F25" s="1622"/>
      <c r="G25" s="1530"/>
      <c r="H25" s="680" t="s">
        <v>38</v>
      </c>
      <c r="I25" s="746">
        <v>1</v>
      </c>
      <c r="J25" s="611">
        <v>350000000</v>
      </c>
      <c r="K25" s="43">
        <v>350000000</v>
      </c>
      <c r="L25" s="44"/>
      <c r="M25" s="747"/>
      <c r="N25" s="488"/>
    </row>
    <row r="26" spans="2:15" s="62" customFormat="1" ht="21" customHeight="1" x14ac:dyDescent="0.25">
      <c r="B26" s="59"/>
      <c r="C26" s="39"/>
      <c r="D26" s="140" t="s">
        <v>10</v>
      </c>
      <c r="E26" s="1529" t="s">
        <v>485</v>
      </c>
      <c r="F26" s="1622"/>
      <c r="G26" s="1530"/>
      <c r="H26" s="680" t="s">
        <v>39</v>
      </c>
      <c r="I26" s="746">
        <v>1</v>
      </c>
      <c r="J26" s="611">
        <v>452890000</v>
      </c>
      <c r="K26" s="43">
        <v>452890000</v>
      </c>
      <c r="L26" s="44"/>
      <c r="M26" s="747"/>
      <c r="N26" s="488"/>
    </row>
    <row r="27" spans="2:15" s="62" customFormat="1" ht="21" customHeight="1" x14ac:dyDescent="0.25">
      <c r="B27" s="59"/>
      <c r="C27" s="39"/>
      <c r="D27" s="140" t="s">
        <v>13</v>
      </c>
      <c r="E27" s="1529" t="s">
        <v>40</v>
      </c>
      <c r="F27" s="1622"/>
      <c r="G27" s="1530"/>
      <c r="H27" s="680" t="s">
        <v>41</v>
      </c>
      <c r="I27" s="746">
        <v>1</v>
      </c>
      <c r="J27" s="612">
        <f>600000000</f>
        <v>600000000</v>
      </c>
      <c r="K27" s="47">
        <f>600000000</f>
        <v>600000000</v>
      </c>
      <c r="L27" s="44"/>
      <c r="M27" s="747"/>
      <c r="N27" s="488"/>
    </row>
    <row r="28" spans="2:15" s="62" customFormat="1" ht="18.75" customHeight="1" x14ac:dyDescent="0.25">
      <c r="B28" s="59"/>
      <c r="C28" s="766"/>
      <c r="D28" s="759" t="s">
        <v>16</v>
      </c>
      <c r="E28" s="1529" t="s">
        <v>42</v>
      </c>
      <c r="F28" s="1622"/>
      <c r="G28" s="1530"/>
      <c r="H28" s="680" t="s">
        <v>43</v>
      </c>
      <c r="I28" s="746">
        <v>1</v>
      </c>
      <c r="J28" s="611">
        <v>243360000</v>
      </c>
      <c r="K28" s="43">
        <v>243360000</v>
      </c>
      <c r="L28" s="44"/>
      <c r="M28" s="747"/>
      <c r="N28" s="488"/>
    </row>
    <row r="29" spans="2:15" s="62" customFormat="1" ht="31.5" customHeight="1" x14ac:dyDescent="0.25">
      <c r="B29" s="59"/>
      <c r="C29" s="39"/>
      <c r="D29" s="140" t="s">
        <v>19</v>
      </c>
      <c r="E29" s="1618" t="s">
        <v>44</v>
      </c>
      <c r="F29" s="1619"/>
      <c r="G29" s="1620"/>
      <c r="H29" s="748" t="s">
        <v>45</v>
      </c>
      <c r="I29" s="746">
        <v>1</v>
      </c>
      <c r="J29" s="660">
        <f>SUM(J30:J31)</f>
        <v>210000000</v>
      </c>
      <c r="K29" s="60">
        <f>SUM(K30:K31)</f>
        <v>210000000</v>
      </c>
      <c r="L29" s="61"/>
      <c r="M29" s="747"/>
      <c r="N29" s="489"/>
      <c r="O29" s="63"/>
    </row>
    <row r="30" spans="2:15" s="62" customFormat="1" ht="26.25" customHeight="1" x14ac:dyDescent="0.25">
      <c r="B30" s="59"/>
      <c r="C30" s="39"/>
      <c r="D30" s="140"/>
      <c r="E30" s="838" t="s">
        <v>46</v>
      </c>
      <c r="F30" s="1616" t="s">
        <v>47</v>
      </c>
      <c r="G30" s="1617"/>
      <c r="H30" s="839" t="s">
        <v>48</v>
      </c>
      <c r="I30" s="137"/>
      <c r="J30" s="616">
        <v>200000000</v>
      </c>
      <c r="K30" s="66">
        <v>200000000</v>
      </c>
      <c r="L30" s="67"/>
      <c r="M30" s="519"/>
      <c r="N30" s="490"/>
      <c r="O30" s="63"/>
    </row>
    <row r="31" spans="2:15" s="62" customFormat="1" ht="25.5" customHeight="1" x14ac:dyDescent="0.25">
      <c r="B31" s="59"/>
      <c r="C31" s="39"/>
      <c r="D31" s="140"/>
      <c r="E31" s="838" t="s">
        <v>46</v>
      </c>
      <c r="F31" s="1616" t="s">
        <v>49</v>
      </c>
      <c r="G31" s="1617"/>
      <c r="H31" s="839" t="s">
        <v>50</v>
      </c>
      <c r="I31" s="137"/>
      <c r="J31" s="616">
        <v>10000000</v>
      </c>
      <c r="K31" s="66">
        <v>10000000</v>
      </c>
      <c r="L31" s="67"/>
      <c r="M31" s="519"/>
      <c r="N31" s="490"/>
      <c r="O31" s="63"/>
    </row>
    <row r="32" spans="2:15" s="62" customFormat="1" ht="26.25" customHeight="1" x14ac:dyDescent="0.25">
      <c r="B32" s="59"/>
      <c r="C32" s="39"/>
      <c r="D32" s="140" t="s">
        <v>27</v>
      </c>
      <c r="E32" s="1618" t="s">
        <v>51</v>
      </c>
      <c r="F32" s="1619"/>
      <c r="G32" s="1620"/>
      <c r="H32" s="840" t="s">
        <v>53</v>
      </c>
      <c r="I32" s="746">
        <v>1</v>
      </c>
      <c r="J32" s="617">
        <f>SUM(J33:J34)</f>
        <v>950000000</v>
      </c>
      <c r="K32" s="71">
        <f>SUM(K33:K34)</f>
        <v>950000000</v>
      </c>
      <c r="L32" s="61"/>
      <c r="M32" s="747"/>
      <c r="N32" s="489"/>
      <c r="O32" s="63"/>
    </row>
    <row r="33" spans="2:15" s="62" customFormat="1" ht="27.75" customHeight="1" x14ac:dyDescent="0.25">
      <c r="B33" s="59"/>
      <c r="C33" s="39"/>
      <c r="D33" s="140"/>
      <c r="E33" s="838" t="s">
        <v>46</v>
      </c>
      <c r="F33" s="1616" t="s">
        <v>52</v>
      </c>
      <c r="G33" s="1617"/>
      <c r="H33" s="839" t="s">
        <v>53</v>
      </c>
      <c r="I33" s="841"/>
      <c r="J33" s="618">
        <v>915000000</v>
      </c>
      <c r="K33" s="73">
        <v>915000000</v>
      </c>
      <c r="L33" s="67"/>
      <c r="M33" s="842"/>
      <c r="N33" s="490"/>
      <c r="O33" s="63"/>
    </row>
    <row r="34" spans="2:15" s="62" customFormat="1" ht="27" customHeight="1" x14ac:dyDescent="0.25">
      <c r="B34" s="59"/>
      <c r="C34" s="39"/>
      <c r="D34" s="140"/>
      <c r="E34" s="838" t="s">
        <v>46</v>
      </c>
      <c r="F34" s="1616" t="s">
        <v>54</v>
      </c>
      <c r="G34" s="1617"/>
      <c r="H34" s="839" t="s">
        <v>55</v>
      </c>
      <c r="I34" s="137"/>
      <c r="J34" s="618">
        <v>35000000</v>
      </c>
      <c r="K34" s="73">
        <v>35000000</v>
      </c>
      <c r="L34" s="67"/>
      <c r="M34" s="519"/>
      <c r="N34" s="490"/>
      <c r="O34" s="63"/>
    </row>
    <row r="35" spans="2:15" s="62" customFormat="1" ht="26.25" customHeight="1" x14ac:dyDescent="0.25">
      <c r="B35" s="59"/>
      <c r="C35" s="39"/>
      <c r="D35" s="140" t="s">
        <v>30</v>
      </c>
      <c r="E35" s="1621" t="s">
        <v>56</v>
      </c>
      <c r="F35" s="1621"/>
      <c r="G35" s="1621"/>
      <c r="H35" s="74" t="s">
        <v>57</v>
      </c>
      <c r="I35" s="746">
        <v>1</v>
      </c>
      <c r="J35" s="612">
        <v>150000000</v>
      </c>
      <c r="K35" s="47">
        <v>150000000</v>
      </c>
      <c r="L35" s="44"/>
      <c r="M35" s="747"/>
      <c r="N35" s="488"/>
    </row>
    <row r="36" spans="2:15" s="62" customFormat="1" ht="21" customHeight="1" x14ac:dyDescent="0.25">
      <c r="B36" s="59"/>
      <c r="C36" s="39"/>
      <c r="D36" s="140" t="s">
        <v>8</v>
      </c>
      <c r="E36" s="1621" t="s">
        <v>58</v>
      </c>
      <c r="F36" s="1621"/>
      <c r="G36" s="1621"/>
      <c r="H36" s="680" t="s">
        <v>34</v>
      </c>
      <c r="I36" s="746">
        <v>1</v>
      </c>
      <c r="J36" s="612">
        <v>164000000</v>
      </c>
      <c r="K36" s="47">
        <v>164000000</v>
      </c>
      <c r="L36" s="44"/>
      <c r="M36" s="747"/>
      <c r="N36" s="488"/>
    </row>
    <row r="37" spans="2:15" s="229" customFormat="1" ht="23.25" customHeight="1" x14ac:dyDescent="0.25">
      <c r="B37" s="59"/>
      <c r="C37" s="39"/>
      <c r="D37" s="140" t="s">
        <v>22</v>
      </c>
      <c r="E37" s="1608" t="s">
        <v>33</v>
      </c>
      <c r="F37" s="1609"/>
      <c r="G37" s="1610"/>
      <c r="H37" s="811" t="s">
        <v>498</v>
      </c>
      <c r="I37" s="81">
        <v>1</v>
      </c>
      <c r="J37" s="613">
        <f>200000000+900000000</f>
        <v>1100000000</v>
      </c>
      <c r="K37" s="52">
        <v>1100000000</v>
      </c>
      <c r="L37" s="44"/>
      <c r="M37" s="549"/>
      <c r="N37" s="488"/>
    </row>
    <row r="38" spans="2:15" s="29" customFormat="1" ht="3.75" customHeight="1" x14ac:dyDescent="0.25">
      <c r="B38" s="13"/>
      <c r="C38" s="54"/>
      <c r="D38" s="55"/>
      <c r="E38" s="75"/>
      <c r="F38" s="1614"/>
      <c r="G38" s="1615"/>
      <c r="H38" s="56"/>
      <c r="I38" s="57"/>
      <c r="J38" s="614"/>
      <c r="K38" s="58"/>
      <c r="L38" s="44"/>
      <c r="M38" s="546"/>
      <c r="N38" s="488"/>
    </row>
    <row r="39" spans="2:15" s="15" customFormat="1" ht="23.25" customHeight="1" x14ac:dyDescent="0.25">
      <c r="B39" s="13"/>
      <c r="C39" s="34" t="s">
        <v>435</v>
      </c>
      <c r="D39" s="1599" t="s">
        <v>59</v>
      </c>
      <c r="E39" s="1600"/>
      <c r="F39" s="1600"/>
      <c r="G39" s="1601"/>
      <c r="H39" s="35" t="s">
        <v>60</v>
      </c>
      <c r="I39" s="36"/>
      <c r="J39" s="610">
        <f>SUM(J40)</f>
        <v>329692000</v>
      </c>
      <c r="K39" s="37">
        <f>SUM(K40)</f>
        <v>329692000</v>
      </c>
      <c r="L39" s="38"/>
      <c r="M39" s="547"/>
      <c r="N39" s="487"/>
    </row>
    <row r="40" spans="2:15" s="29" customFormat="1" ht="19.5" customHeight="1" x14ac:dyDescent="0.25">
      <c r="B40" s="13"/>
      <c r="C40" s="76"/>
      <c r="D40" s="77" t="s">
        <v>5</v>
      </c>
      <c r="E40" s="1602" t="s">
        <v>61</v>
      </c>
      <c r="F40" s="1603"/>
      <c r="G40" s="1604"/>
      <c r="H40" s="50" t="s">
        <v>62</v>
      </c>
      <c r="I40" s="51">
        <v>1</v>
      </c>
      <c r="J40" s="613">
        <f>347700000-18008000</f>
        <v>329692000</v>
      </c>
      <c r="K40" s="52">
        <f>347700000-18008000</f>
        <v>329692000</v>
      </c>
      <c r="L40" s="44"/>
      <c r="M40" s="545"/>
      <c r="N40" s="488"/>
    </row>
    <row r="41" spans="2:15" s="29" customFormat="1" ht="3.75" customHeight="1" x14ac:dyDescent="0.25">
      <c r="B41" s="13"/>
      <c r="C41" s="91"/>
      <c r="D41" s="92"/>
      <c r="E41" s="1613"/>
      <c r="F41" s="1614"/>
      <c r="G41" s="1615"/>
      <c r="H41" s="93"/>
      <c r="I41" s="470"/>
      <c r="J41" s="619"/>
      <c r="K41" s="94"/>
      <c r="L41" s="44"/>
      <c r="M41" s="548"/>
      <c r="N41" s="488"/>
    </row>
    <row r="42" spans="2:15" s="15" customFormat="1" ht="22.5" customHeight="1" x14ac:dyDescent="0.25">
      <c r="B42" s="13"/>
      <c r="C42" s="34" t="s">
        <v>436</v>
      </c>
      <c r="D42" s="1599" t="s">
        <v>63</v>
      </c>
      <c r="E42" s="1600"/>
      <c r="F42" s="1600"/>
      <c r="G42" s="1601"/>
      <c r="H42" s="35" t="s">
        <v>64</v>
      </c>
      <c r="I42" s="36"/>
      <c r="J42" s="610">
        <f>J43</f>
        <v>250000000</v>
      </c>
      <c r="K42" s="37">
        <f>K43</f>
        <v>250000000</v>
      </c>
      <c r="L42" s="38"/>
      <c r="M42" s="547"/>
      <c r="N42" s="487"/>
    </row>
    <row r="43" spans="2:15" s="82" customFormat="1" ht="34.5" customHeight="1" x14ac:dyDescent="0.25">
      <c r="B43" s="59"/>
      <c r="C43" s="78"/>
      <c r="D43" s="79" t="s">
        <v>5</v>
      </c>
      <c r="E43" s="1593" t="s">
        <v>65</v>
      </c>
      <c r="F43" s="1594"/>
      <c r="G43" s="1595"/>
      <c r="H43" s="80" t="s">
        <v>66</v>
      </c>
      <c r="I43" s="81">
        <v>1</v>
      </c>
      <c r="J43" s="613">
        <f>300000000-50000000</f>
        <v>250000000</v>
      </c>
      <c r="K43" s="52">
        <f>300000000-50000000</f>
        <v>250000000</v>
      </c>
      <c r="L43" s="44"/>
      <c r="M43" s="549"/>
      <c r="N43" s="488"/>
    </row>
    <row r="44" spans="2:15" s="15" customFormat="1" ht="7.5" customHeight="1" x14ac:dyDescent="0.25">
      <c r="B44" s="13"/>
      <c r="C44" s="83"/>
      <c r="D44" s="84"/>
      <c r="E44" s="1596"/>
      <c r="F44" s="1597"/>
      <c r="G44" s="1598"/>
      <c r="H44" s="41"/>
      <c r="I44" s="57"/>
      <c r="J44" s="614"/>
      <c r="K44" s="58"/>
      <c r="L44" s="44"/>
      <c r="M44" s="546"/>
      <c r="N44" s="488"/>
    </row>
    <row r="45" spans="2:15" s="15" customFormat="1" ht="33" customHeight="1" x14ac:dyDescent="0.25">
      <c r="B45" s="13"/>
      <c r="C45" s="34" t="s">
        <v>437</v>
      </c>
      <c r="D45" s="1599" t="s">
        <v>67</v>
      </c>
      <c r="E45" s="1600"/>
      <c r="F45" s="1600"/>
      <c r="G45" s="1601"/>
      <c r="H45" s="35" t="s">
        <v>68</v>
      </c>
      <c r="I45" s="36"/>
      <c r="J45" s="610">
        <f>SUM(J46:J49)</f>
        <v>1472000000</v>
      </c>
      <c r="K45" s="37">
        <f>SUM(K46:K49)</f>
        <v>1472000000</v>
      </c>
      <c r="L45" s="38"/>
      <c r="M45" s="547"/>
      <c r="N45" s="487"/>
    </row>
    <row r="46" spans="2:15" s="29" customFormat="1" ht="16.5" customHeight="1" x14ac:dyDescent="0.25">
      <c r="B46" s="13"/>
      <c r="C46" s="54"/>
      <c r="D46" s="55" t="s">
        <v>5</v>
      </c>
      <c r="E46" s="1602" t="s">
        <v>69</v>
      </c>
      <c r="F46" s="1603"/>
      <c r="G46" s="1604"/>
      <c r="H46" s="41" t="s">
        <v>466</v>
      </c>
      <c r="I46" s="85">
        <v>1</v>
      </c>
      <c r="J46" s="614">
        <v>300000000</v>
      </c>
      <c r="K46" s="58">
        <v>300000000</v>
      </c>
      <c r="L46" s="44"/>
      <c r="M46" s="550"/>
      <c r="N46" s="488"/>
    </row>
    <row r="47" spans="2:15" s="29" customFormat="1" ht="16.5" customHeight="1" x14ac:dyDescent="0.25">
      <c r="B47" s="13"/>
      <c r="C47" s="54"/>
      <c r="D47" s="55" t="s">
        <v>10</v>
      </c>
      <c r="E47" s="1584" t="s">
        <v>70</v>
      </c>
      <c r="F47" s="1585"/>
      <c r="G47" s="1586"/>
      <c r="H47" s="46" t="s">
        <v>71</v>
      </c>
      <c r="I47" s="42">
        <v>1</v>
      </c>
      <c r="J47" s="620">
        <v>350000000</v>
      </c>
      <c r="K47" s="86">
        <v>350000000</v>
      </c>
      <c r="L47" s="44"/>
      <c r="M47" s="551"/>
      <c r="N47" s="488"/>
    </row>
    <row r="48" spans="2:15" s="29" customFormat="1" ht="16.5" customHeight="1" x14ac:dyDescent="0.25">
      <c r="B48" s="13"/>
      <c r="C48" s="87"/>
      <c r="D48" s="88" t="s">
        <v>13</v>
      </c>
      <c r="E48" s="1605" t="s">
        <v>72</v>
      </c>
      <c r="F48" s="1606"/>
      <c r="G48" s="1607"/>
      <c r="H48" s="46" t="s">
        <v>73</v>
      </c>
      <c r="I48" s="42">
        <v>1</v>
      </c>
      <c r="J48" s="612">
        <f>722000000</f>
        <v>722000000</v>
      </c>
      <c r="K48" s="47">
        <f>722000000</f>
        <v>722000000</v>
      </c>
      <c r="L48" s="44"/>
      <c r="M48" s="551"/>
      <c r="N48" s="488"/>
    </row>
    <row r="49" spans="2:17" s="29" customFormat="1" ht="28.5" customHeight="1" x14ac:dyDescent="0.25">
      <c r="B49" s="13"/>
      <c r="C49" s="76"/>
      <c r="D49" s="89" t="s">
        <v>16</v>
      </c>
      <c r="E49" s="1584" t="s">
        <v>74</v>
      </c>
      <c r="F49" s="1585"/>
      <c r="G49" s="1586"/>
      <c r="H49" s="50" t="s">
        <v>467</v>
      </c>
      <c r="I49" s="51">
        <v>1</v>
      </c>
      <c r="J49" s="621">
        <v>100000000</v>
      </c>
      <c r="K49" s="90">
        <v>100000000</v>
      </c>
      <c r="L49" s="44"/>
      <c r="M49" s="545"/>
      <c r="N49" s="488"/>
    </row>
    <row r="50" spans="2:17" ht="3.75" customHeight="1" x14ac:dyDescent="0.25">
      <c r="C50" s="95"/>
      <c r="D50" s="96"/>
      <c r="E50" s="673"/>
      <c r="F50" s="97"/>
      <c r="G50" s="674"/>
      <c r="H50" s="98"/>
      <c r="I50" s="99"/>
      <c r="J50" s="622"/>
      <c r="K50" s="100"/>
      <c r="L50" s="101"/>
      <c r="M50" s="552"/>
      <c r="N50" s="491"/>
    </row>
    <row r="51" spans="2:17" s="15" customFormat="1" ht="30" customHeight="1" x14ac:dyDescent="0.25">
      <c r="B51" s="13"/>
      <c r="C51" s="102"/>
      <c r="D51" s="1587" t="s">
        <v>75</v>
      </c>
      <c r="E51" s="1588"/>
      <c r="F51" s="1588"/>
      <c r="G51" s="1588"/>
      <c r="H51" s="1588"/>
      <c r="I51" s="1589"/>
      <c r="J51" s="623">
        <f>J52+J128+J153+J158+J166+J207+J211+J215+J222+J238+J244</f>
        <v>296526922971</v>
      </c>
      <c r="K51" s="103">
        <f>K52+K128+K153+K158+K166+K207+K211+K215+K222+K238+K244</f>
        <v>296526922971</v>
      </c>
      <c r="L51" s="104"/>
      <c r="M51" s="593"/>
      <c r="N51" s="14"/>
    </row>
    <row r="52" spans="2:17" s="15" customFormat="1" ht="32.25" customHeight="1" x14ac:dyDescent="0.25">
      <c r="B52" s="13"/>
      <c r="C52" s="1506" t="s">
        <v>438</v>
      </c>
      <c r="D52" s="1507"/>
      <c r="E52" s="1590" t="s">
        <v>76</v>
      </c>
      <c r="F52" s="1591"/>
      <c r="G52" s="1592"/>
      <c r="H52" s="105" t="s">
        <v>77</v>
      </c>
      <c r="I52" s="106"/>
      <c r="J52" s="624">
        <f>J53+J54+J57+J61+J64+J65+J66+J67+J89+J91+J94+J98+J104+J107+J111+J115+J117+J119+J121+J124</f>
        <v>175815000000</v>
      </c>
      <c r="K52" s="107">
        <f>K53+K54+K57+K61+K64+K65+K66+K67+K89+K91+K94+K98+K104+K107+K111+K115+K117+K119+K121+K124</f>
        <v>179015000000</v>
      </c>
      <c r="L52" s="108"/>
      <c r="M52" s="515"/>
      <c r="N52" s="108"/>
      <c r="O52" s="16">
        <v>1100000000</v>
      </c>
      <c r="P52" s="21">
        <v>172915000000</v>
      </c>
    </row>
    <row r="53" spans="2:17" s="113" customFormat="1" ht="27.75" customHeight="1" x14ac:dyDescent="0.25">
      <c r="B53" s="59"/>
      <c r="C53" s="114"/>
      <c r="D53" s="447"/>
      <c r="E53" s="88" t="s">
        <v>5</v>
      </c>
      <c r="F53" s="1579" t="s">
        <v>78</v>
      </c>
      <c r="G53" s="1580"/>
      <c r="H53" s="165" t="s">
        <v>79</v>
      </c>
      <c r="I53" s="110">
        <v>1</v>
      </c>
      <c r="J53" s="625">
        <f>550000000+200000000</f>
        <v>750000000</v>
      </c>
      <c r="K53" s="111">
        <f>550000000+200000000</f>
        <v>750000000</v>
      </c>
      <c r="L53" s="112"/>
      <c r="M53" s="553"/>
      <c r="N53" s="112"/>
    </row>
    <row r="54" spans="2:17" s="113" customFormat="1" ht="19.5" customHeight="1" x14ac:dyDescent="0.25">
      <c r="B54" s="59"/>
      <c r="C54" s="39"/>
      <c r="D54" s="109"/>
      <c r="E54" s="450" t="s">
        <v>10</v>
      </c>
      <c r="F54" s="1577" t="s">
        <v>80</v>
      </c>
      <c r="G54" s="1578"/>
      <c r="H54" s="173" t="s">
        <v>411</v>
      </c>
      <c r="I54" s="445" t="s">
        <v>430</v>
      </c>
      <c r="J54" s="626">
        <f>J55+J56</f>
        <v>850000000</v>
      </c>
      <c r="K54" s="117">
        <f>K55+K56</f>
        <v>850000000</v>
      </c>
      <c r="L54" s="118"/>
      <c r="M54" s="554"/>
      <c r="N54" s="118"/>
    </row>
    <row r="55" spans="2:17" s="113" customFormat="1" x14ac:dyDescent="0.25">
      <c r="B55" s="59"/>
      <c r="C55" s="119"/>
      <c r="D55" s="120"/>
      <c r="E55" s="121"/>
      <c r="F55" s="122" t="s">
        <v>46</v>
      </c>
      <c r="G55" s="123" t="s">
        <v>81</v>
      </c>
      <c r="H55" s="601"/>
      <c r="I55" s="124" t="s">
        <v>86</v>
      </c>
      <c r="J55" s="627">
        <v>500000000</v>
      </c>
      <c r="K55" s="125">
        <v>500000000</v>
      </c>
      <c r="L55" s="126"/>
      <c r="M55" s="555"/>
      <c r="N55" s="126"/>
    </row>
    <row r="56" spans="2:17" s="113" customFormat="1" x14ac:dyDescent="0.25">
      <c r="B56" s="59"/>
      <c r="C56" s="119"/>
      <c r="D56" s="120"/>
      <c r="E56" s="121"/>
      <c r="F56" s="122" t="s">
        <v>46</v>
      </c>
      <c r="G56" s="123" t="s">
        <v>82</v>
      </c>
      <c r="H56" s="601"/>
      <c r="I56" s="124" t="s">
        <v>86</v>
      </c>
      <c r="J56" s="627">
        <v>350000000</v>
      </c>
      <c r="K56" s="125">
        <v>350000000</v>
      </c>
      <c r="L56" s="126"/>
      <c r="M56" s="555"/>
      <c r="N56" s="126"/>
    </row>
    <row r="57" spans="2:17" s="113" customFormat="1" ht="21" customHeight="1" x14ac:dyDescent="0.25">
      <c r="B57" s="59"/>
      <c r="C57" s="39"/>
      <c r="D57" s="109"/>
      <c r="E57" s="449" t="s">
        <v>13</v>
      </c>
      <c r="F57" s="1581" t="s">
        <v>83</v>
      </c>
      <c r="G57" s="1581"/>
      <c r="H57" s="469" t="s">
        <v>412</v>
      </c>
      <c r="I57" s="444" t="s">
        <v>430</v>
      </c>
      <c r="J57" s="626">
        <f>SUM(J58:J59)</f>
        <v>400000000</v>
      </c>
      <c r="K57" s="117">
        <f>SUM(K58:K59)</f>
        <v>400000000</v>
      </c>
      <c r="L57" s="118"/>
      <c r="M57" s="556"/>
      <c r="N57" s="118"/>
    </row>
    <row r="58" spans="2:17" s="113" customFormat="1" x14ac:dyDescent="0.25">
      <c r="B58" s="59"/>
      <c r="C58" s="127"/>
      <c r="D58" s="128"/>
      <c r="E58" s="129"/>
      <c r="F58" s="130" t="s">
        <v>46</v>
      </c>
      <c r="G58" s="131" t="s">
        <v>84</v>
      </c>
      <c r="H58" s="602"/>
      <c r="I58" s="116" t="s">
        <v>86</v>
      </c>
      <c r="J58" s="627">
        <v>200000000</v>
      </c>
      <c r="K58" s="125">
        <v>200000000</v>
      </c>
      <c r="L58" s="126"/>
      <c r="M58" s="557"/>
      <c r="N58" s="126"/>
    </row>
    <row r="59" spans="2:17" s="113" customFormat="1" ht="14.25" customHeight="1" x14ac:dyDescent="0.25">
      <c r="B59" s="59"/>
      <c r="C59" s="119"/>
      <c r="D59" s="120"/>
      <c r="E59" s="121"/>
      <c r="F59" s="122" t="s">
        <v>46</v>
      </c>
      <c r="G59" s="123" t="s">
        <v>85</v>
      </c>
      <c r="H59" s="601"/>
      <c r="I59" s="124" t="s">
        <v>86</v>
      </c>
      <c r="J59" s="627">
        <v>200000000</v>
      </c>
      <c r="K59" s="125">
        <v>200000000</v>
      </c>
      <c r="L59" s="126"/>
      <c r="M59" s="555"/>
      <c r="N59" s="126"/>
    </row>
    <row r="60" spans="2:17" s="82" customFormat="1" ht="20.25" customHeight="1" x14ac:dyDescent="0.25">
      <c r="B60" s="59"/>
      <c r="C60" s="39"/>
      <c r="D60" s="109"/>
      <c r="E60" s="88" t="s">
        <v>16</v>
      </c>
      <c r="F60" s="1582" t="s">
        <v>87</v>
      </c>
      <c r="G60" s="1583"/>
      <c r="H60" s="676" t="s">
        <v>413</v>
      </c>
      <c r="I60" s="134">
        <v>1</v>
      </c>
      <c r="J60" s="628">
        <v>0</v>
      </c>
      <c r="K60" s="135">
        <v>0</v>
      </c>
      <c r="L60" s="108"/>
      <c r="M60" s="558"/>
      <c r="N60" s="108"/>
      <c r="O60" s="136"/>
    </row>
    <row r="61" spans="2:17" s="82" customFormat="1" ht="29.25" customHeight="1" x14ac:dyDescent="0.25">
      <c r="B61" s="59"/>
      <c r="C61" s="39"/>
      <c r="D61" s="109"/>
      <c r="E61" s="88" t="s">
        <v>19</v>
      </c>
      <c r="F61" s="1582" t="s">
        <v>88</v>
      </c>
      <c r="G61" s="1583"/>
      <c r="H61" s="469" t="s">
        <v>414</v>
      </c>
      <c r="I61" s="443" t="s">
        <v>430</v>
      </c>
      <c r="J61" s="626">
        <f>SUM(J62:J63)</f>
        <v>900000000</v>
      </c>
      <c r="K61" s="117">
        <f>SUM(K62:K63)</f>
        <v>900000000</v>
      </c>
      <c r="L61" s="118"/>
      <c r="M61" s="559"/>
      <c r="N61" s="118"/>
    </row>
    <row r="62" spans="2:17" s="113" customFormat="1" ht="15.75" customHeight="1" x14ac:dyDescent="0.25">
      <c r="B62" s="59"/>
      <c r="C62" s="119"/>
      <c r="D62" s="120"/>
      <c r="E62" s="121"/>
      <c r="F62" s="122" t="s">
        <v>46</v>
      </c>
      <c r="G62" s="138" t="s">
        <v>392</v>
      </c>
      <c r="H62" s="601"/>
      <c r="I62" s="137" t="s">
        <v>86</v>
      </c>
      <c r="J62" s="627">
        <v>600000000</v>
      </c>
      <c r="K62" s="125">
        <v>600000000</v>
      </c>
      <c r="L62" s="126"/>
      <c r="M62" s="560"/>
      <c r="N62" s="126"/>
    </row>
    <row r="63" spans="2:17" s="113" customFormat="1" ht="25.5" x14ac:dyDescent="0.25">
      <c r="B63" s="59"/>
      <c r="C63" s="119"/>
      <c r="D63" s="120"/>
      <c r="E63" s="121"/>
      <c r="F63" s="122" t="s">
        <v>46</v>
      </c>
      <c r="G63" s="138" t="s">
        <v>89</v>
      </c>
      <c r="H63" s="601"/>
      <c r="I63" s="137" t="s">
        <v>86</v>
      </c>
      <c r="J63" s="627">
        <v>300000000</v>
      </c>
      <c r="K63" s="125">
        <v>300000000</v>
      </c>
      <c r="L63" s="126"/>
      <c r="M63" s="519"/>
      <c r="N63" s="126"/>
    </row>
    <row r="64" spans="2:17" s="29" customFormat="1" ht="19.5" customHeight="1" x14ac:dyDescent="0.25">
      <c r="B64" s="13"/>
      <c r="C64" s="39"/>
      <c r="D64" s="140"/>
      <c r="E64" s="109" t="s">
        <v>27</v>
      </c>
      <c r="F64" s="1533" t="s">
        <v>90</v>
      </c>
      <c r="G64" s="1534"/>
      <c r="H64" s="172" t="s">
        <v>91</v>
      </c>
      <c r="I64" s="142" t="s">
        <v>92</v>
      </c>
      <c r="J64" s="629">
        <f>100000000</f>
        <v>100000000</v>
      </c>
      <c r="K64" s="143">
        <f>100000000</f>
        <v>100000000</v>
      </c>
      <c r="L64" s="144"/>
      <c r="M64" s="520"/>
      <c r="N64" s="492"/>
      <c r="Q64" s="145"/>
    </row>
    <row r="65" spans="2:17" s="62" customFormat="1" ht="19.5" customHeight="1" x14ac:dyDescent="0.25">
      <c r="B65" s="59"/>
      <c r="C65" s="39"/>
      <c r="D65" s="109"/>
      <c r="E65" s="88" t="s">
        <v>30</v>
      </c>
      <c r="F65" s="1582" t="s">
        <v>93</v>
      </c>
      <c r="G65" s="1583"/>
      <c r="H65" s="676" t="s">
        <v>94</v>
      </c>
      <c r="I65" s="442" t="s">
        <v>481</v>
      </c>
      <c r="J65" s="630">
        <f>7200000000+4000000000</f>
        <v>11200000000</v>
      </c>
      <c r="K65" s="146">
        <f>7200000000+4000000000</f>
        <v>11200000000</v>
      </c>
      <c r="L65" s="147"/>
      <c r="M65" s="521"/>
      <c r="N65" s="118"/>
      <c r="O65" s="148"/>
      <c r="Q65" s="148">
        <f>P65/800000</f>
        <v>0</v>
      </c>
    </row>
    <row r="66" spans="2:17" s="113" customFormat="1" ht="19.5" customHeight="1" x14ac:dyDescent="0.25">
      <c r="B66" s="59"/>
      <c r="C66" s="39"/>
      <c r="D66" s="109"/>
      <c r="E66" s="88" t="s">
        <v>8</v>
      </c>
      <c r="F66" s="1582" t="s">
        <v>95</v>
      </c>
      <c r="G66" s="1583"/>
      <c r="H66" s="469" t="s">
        <v>96</v>
      </c>
      <c r="I66" s="110" t="s">
        <v>429</v>
      </c>
      <c r="J66" s="631">
        <f>16100000000-10000000000+200000000</f>
        <v>6300000000</v>
      </c>
      <c r="K66" s="149">
        <f>16100000000-10000000000+200000000</f>
        <v>6300000000</v>
      </c>
      <c r="L66" s="150"/>
      <c r="M66" s="516"/>
      <c r="N66" s="112"/>
      <c r="P66" s="151"/>
    </row>
    <row r="67" spans="2:17" s="82" customFormat="1" ht="19.5" customHeight="1" x14ac:dyDescent="0.25">
      <c r="B67" s="59"/>
      <c r="C67" s="39"/>
      <c r="D67" s="109"/>
      <c r="E67" s="88" t="s">
        <v>22</v>
      </c>
      <c r="F67" s="1579" t="s">
        <v>97</v>
      </c>
      <c r="G67" s="1580"/>
      <c r="H67" s="152" t="s">
        <v>98</v>
      </c>
      <c r="I67" s="153">
        <v>1</v>
      </c>
      <c r="J67" s="632">
        <f>SUM(J68:J73)</f>
        <v>6600000000</v>
      </c>
      <c r="K67" s="154">
        <f>SUM(K68:K73)</f>
        <v>6600000000</v>
      </c>
      <c r="L67" s="118"/>
      <c r="M67" s="522"/>
      <c r="N67" s="118"/>
      <c r="P67" s="155"/>
    </row>
    <row r="68" spans="2:17" s="163" customFormat="1" x14ac:dyDescent="0.25">
      <c r="B68" s="59"/>
      <c r="C68" s="119"/>
      <c r="D68" s="156"/>
      <c r="E68" s="157"/>
      <c r="F68" s="158" t="s">
        <v>46</v>
      </c>
      <c r="G68" s="159" t="s">
        <v>99</v>
      </c>
      <c r="H68" s="160"/>
      <c r="I68" s="161"/>
      <c r="J68" s="633">
        <v>1100000000</v>
      </c>
      <c r="K68" s="162">
        <v>1100000000</v>
      </c>
      <c r="L68" s="126"/>
      <c r="M68" s="523"/>
      <c r="N68" s="126"/>
    </row>
    <row r="69" spans="2:17" s="163" customFormat="1" x14ac:dyDescent="0.25">
      <c r="B69" s="59"/>
      <c r="C69" s="119"/>
      <c r="D69" s="156"/>
      <c r="E69" s="157"/>
      <c r="F69" s="158" t="s">
        <v>46</v>
      </c>
      <c r="G69" s="159" t="s">
        <v>100</v>
      </c>
      <c r="H69" s="160"/>
      <c r="I69" s="161"/>
      <c r="J69" s="633">
        <v>1100000000</v>
      </c>
      <c r="K69" s="162">
        <v>1100000000</v>
      </c>
      <c r="L69" s="126"/>
      <c r="M69" s="523"/>
      <c r="N69" s="126"/>
      <c r="P69" s="164"/>
    </row>
    <row r="70" spans="2:17" s="163" customFormat="1" x14ac:dyDescent="0.25">
      <c r="B70" s="59"/>
      <c r="C70" s="119"/>
      <c r="D70" s="156"/>
      <c r="E70" s="157"/>
      <c r="F70" s="158" t="s">
        <v>46</v>
      </c>
      <c r="G70" s="159" t="s">
        <v>101</v>
      </c>
      <c r="H70" s="160"/>
      <c r="I70" s="161"/>
      <c r="J70" s="633">
        <v>1100000000</v>
      </c>
      <c r="K70" s="162">
        <v>1100000000</v>
      </c>
      <c r="L70" s="126"/>
      <c r="M70" s="523"/>
      <c r="N70" s="126"/>
    </row>
    <row r="71" spans="2:17" s="163" customFormat="1" x14ac:dyDescent="0.25">
      <c r="B71" s="59"/>
      <c r="C71" s="119"/>
      <c r="D71" s="156"/>
      <c r="E71" s="157"/>
      <c r="F71" s="158" t="s">
        <v>46</v>
      </c>
      <c r="G71" s="159" t="s">
        <v>102</v>
      </c>
      <c r="H71" s="160"/>
      <c r="I71" s="161"/>
      <c r="J71" s="633">
        <v>1100000000</v>
      </c>
      <c r="K71" s="162">
        <v>1100000000</v>
      </c>
      <c r="L71" s="126"/>
      <c r="M71" s="523"/>
      <c r="N71" s="126"/>
    </row>
    <row r="72" spans="2:17" s="163" customFormat="1" x14ac:dyDescent="0.25">
      <c r="B72" s="59"/>
      <c r="C72" s="119"/>
      <c r="D72" s="156"/>
      <c r="E72" s="157"/>
      <c r="F72" s="158" t="s">
        <v>46</v>
      </c>
      <c r="G72" s="159" t="s">
        <v>103</v>
      </c>
      <c r="H72" s="160"/>
      <c r="I72" s="161"/>
      <c r="J72" s="633">
        <v>1100000000</v>
      </c>
      <c r="K72" s="162">
        <v>1100000000</v>
      </c>
      <c r="L72" s="126"/>
      <c r="M72" s="523"/>
      <c r="N72" s="126"/>
    </row>
    <row r="73" spans="2:17" s="163" customFormat="1" x14ac:dyDescent="0.25">
      <c r="B73" s="59"/>
      <c r="C73" s="119"/>
      <c r="D73" s="156"/>
      <c r="E73" s="157"/>
      <c r="F73" s="158" t="s">
        <v>46</v>
      </c>
      <c r="G73" s="159" t="s">
        <v>104</v>
      </c>
      <c r="H73" s="160"/>
      <c r="I73" s="161"/>
      <c r="J73" s="633">
        <v>1100000000</v>
      </c>
      <c r="K73" s="162">
        <v>1100000000</v>
      </c>
      <c r="L73" s="126"/>
      <c r="M73" s="523"/>
      <c r="N73" s="126"/>
    </row>
    <row r="74" spans="2:17" s="113" customFormat="1" ht="19.5" customHeight="1" x14ac:dyDescent="0.25">
      <c r="B74" s="59"/>
      <c r="C74" s="39"/>
      <c r="D74" s="109"/>
      <c r="E74" s="88" t="s">
        <v>210</v>
      </c>
      <c r="F74" s="1577" t="s">
        <v>105</v>
      </c>
      <c r="G74" s="1578"/>
      <c r="H74" s="165" t="s">
        <v>106</v>
      </c>
      <c r="I74" s="166">
        <v>1</v>
      </c>
      <c r="J74" s="634">
        <v>0</v>
      </c>
      <c r="K74" s="167">
        <v>0</v>
      </c>
      <c r="L74" s="168"/>
      <c r="M74" s="524"/>
      <c r="N74" s="168"/>
      <c r="O74" s="113" t="s">
        <v>107</v>
      </c>
    </row>
    <row r="75" spans="2:17" s="113" customFormat="1" ht="15.75" hidden="1" customHeight="1" x14ac:dyDescent="0.25">
      <c r="B75" s="59"/>
      <c r="C75" s="119"/>
      <c r="D75" s="156"/>
      <c r="E75" s="157"/>
      <c r="F75" s="169" t="s">
        <v>46</v>
      </c>
      <c r="G75" s="170" t="s">
        <v>108</v>
      </c>
      <c r="H75" s="171"/>
      <c r="I75" s="116" t="s">
        <v>109</v>
      </c>
      <c r="J75" s="627">
        <v>17500000000</v>
      </c>
      <c r="K75" s="125">
        <v>17500000000</v>
      </c>
      <c r="L75" s="126"/>
      <c r="M75" s="517"/>
      <c r="N75" s="126"/>
    </row>
    <row r="76" spans="2:17" s="113" customFormat="1" ht="15.75" hidden="1" customHeight="1" x14ac:dyDescent="0.25">
      <c r="B76" s="59"/>
      <c r="C76" s="119"/>
      <c r="D76" s="156"/>
      <c r="E76" s="157"/>
      <c r="F76" s="169" t="s">
        <v>46</v>
      </c>
      <c r="G76" s="170" t="s">
        <v>110</v>
      </c>
      <c r="H76" s="171"/>
      <c r="I76" s="116" t="s">
        <v>111</v>
      </c>
      <c r="J76" s="627">
        <v>7500000000</v>
      </c>
      <c r="K76" s="125">
        <v>7500000000</v>
      </c>
      <c r="L76" s="126"/>
      <c r="M76" s="517"/>
      <c r="N76" s="126"/>
    </row>
    <row r="77" spans="2:17" s="113" customFormat="1" ht="15.75" hidden="1" customHeight="1" x14ac:dyDescent="0.25">
      <c r="B77" s="59"/>
      <c r="C77" s="119"/>
      <c r="D77" s="156"/>
      <c r="E77" s="157"/>
      <c r="F77" s="169" t="s">
        <v>46</v>
      </c>
      <c r="G77" s="170" t="s">
        <v>112</v>
      </c>
      <c r="H77" s="171"/>
      <c r="I77" s="116" t="s">
        <v>113</v>
      </c>
      <c r="J77" s="627">
        <v>15400000000</v>
      </c>
      <c r="K77" s="125">
        <v>15400000000</v>
      </c>
      <c r="L77" s="126"/>
      <c r="M77" s="517"/>
      <c r="N77" s="126"/>
    </row>
    <row r="78" spans="2:17" s="113" customFormat="1" ht="15.75" hidden="1" customHeight="1" x14ac:dyDescent="0.25">
      <c r="B78" s="59"/>
      <c r="C78" s="119"/>
      <c r="D78" s="156"/>
      <c r="E78" s="157"/>
      <c r="F78" s="169" t="s">
        <v>46</v>
      </c>
      <c r="G78" s="170" t="s">
        <v>114</v>
      </c>
      <c r="H78" s="171"/>
      <c r="I78" s="116" t="s">
        <v>115</v>
      </c>
      <c r="J78" s="627">
        <v>0</v>
      </c>
      <c r="K78" s="125">
        <v>0</v>
      </c>
      <c r="L78" s="126"/>
      <c r="M78" s="517"/>
      <c r="N78" s="126"/>
    </row>
    <row r="79" spans="2:17" s="113" customFormat="1" ht="15.75" hidden="1" customHeight="1" x14ac:dyDescent="0.25">
      <c r="B79" s="59"/>
      <c r="C79" s="119"/>
      <c r="D79" s="156"/>
      <c r="E79" s="157"/>
      <c r="F79" s="169" t="s">
        <v>46</v>
      </c>
      <c r="G79" s="170" t="s">
        <v>116</v>
      </c>
      <c r="H79" s="171"/>
      <c r="I79" s="116">
        <v>1</v>
      </c>
      <c r="J79" s="627">
        <v>1000000</v>
      </c>
      <c r="K79" s="125">
        <v>1000000</v>
      </c>
      <c r="L79" s="126"/>
      <c r="M79" s="517"/>
      <c r="N79" s="126"/>
    </row>
    <row r="80" spans="2:17" s="113" customFormat="1" ht="15.75" hidden="1" customHeight="1" x14ac:dyDescent="0.25">
      <c r="B80" s="59"/>
      <c r="C80" s="119"/>
      <c r="D80" s="156"/>
      <c r="E80" s="157"/>
      <c r="F80" s="169" t="s">
        <v>46</v>
      </c>
      <c r="G80" s="170" t="s">
        <v>117</v>
      </c>
      <c r="H80" s="171"/>
      <c r="I80" s="116">
        <v>1</v>
      </c>
      <c r="J80" s="627">
        <v>1000000</v>
      </c>
      <c r="K80" s="125">
        <v>1000000</v>
      </c>
      <c r="L80" s="126"/>
      <c r="M80" s="517"/>
      <c r="N80" s="126"/>
    </row>
    <row r="81" spans="2:17" s="113" customFormat="1" ht="30.75" hidden="1" customHeight="1" x14ac:dyDescent="0.25">
      <c r="B81" s="59"/>
      <c r="C81" s="119"/>
      <c r="D81" s="156"/>
      <c r="E81" s="157"/>
      <c r="F81" s="169" t="s">
        <v>46</v>
      </c>
      <c r="G81" s="170" t="s">
        <v>118</v>
      </c>
      <c r="H81" s="171"/>
      <c r="I81" s="116">
        <v>1</v>
      </c>
      <c r="J81" s="627">
        <v>1000000</v>
      </c>
      <c r="K81" s="125">
        <v>1000000</v>
      </c>
      <c r="L81" s="126"/>
      <c r="M81" s="517"/>
      <c r="N81" s="126"/>
    </row>
    <row r="82" spans="2:17" s="113" customFormat="1" ht="15.75" hidden="1" customHeight="1" x14ac:dyDescent="0.25">
      <c r="B82" s="59"/>
      <c r="C82" s="119"/>
      <c r="D82" s="156"/>
      <c r="E82" s="157"/>
      <c r="F82" s="169" t="s">
        <v>46</v>
      </c>
      <c r="G82" s="170" t="s">
        <v>119</v>
      </c>
      <c r="H82" s="171"/>
      <c r="I82" s="116">
        <v>1</v>
      </c>
      <c r="J82" s="627">
        <v>1000000</v>
      </c>
      <c r="K82" s="125">
        <v>1000000</v>
      </c>
      <c r="L82" s="126"/>
      <c r="M82" s="517"/>
      <c r="N82" s="126"/>
    </row>
    <row r="83" spans="2:17" s="113" customFormat="1" ht="15.75" hidden="1" customHeight="1" x14ac:dyDescent="0.25">
      <c r="B83" s="59"/>
      <c r="C83" s="119"/>
      <c r="D83" s="156"/>
      <c r="E83" s="157"/>
      <c r="F83" s="169" t="s">
        <v>46</v>
      </c>
      <c r="G83" s="170" t="s">
        <v>120</v>
      </c>
      <c r="H83" s="171"/>
      <c r="I83" s="116">
        <v>1</v>
      </c>
      <c r="J83" s="627">
        <v>1000000</v>
      </c>
      <c r="K83" s="125">
        <v>1000000</v>
      </c>
      <c r="L83" s="126"/>
      <c r="M83" s="517"/>
      <c r="N83" s="126"/>
    </row>
    <row r="84" spans="2:17" s="113" customFormat="1" ht="30.75" hidden="1" customHeight="1" x14ac:dyDescent="0.25">
      <c r="B84" s="59"/>
      <c r="C84" s="119"/>
      <c r="D84" s="156"/>
      <c r="E84" s="157"/>
      <c r="F84" s="169" t="s">
        <v>46</v>
      </c>
      <c r="G84" s="170" t="s">
        <v>121</v>
      </c>
      <c r="H84" s="171"/>
      <c r="I84" s="116">
        <v>1</v>
      </c>
      <c r="J84" s="627">
        <v>1000000</v>
      </c>
      <c r="K84" s="125">
        <v>1000000</v>
      </c>
      <c r="L84" s="126"/>
      <c r="M84" s="517"/>
      <c r="N84" s="126"/>
    </row>
    <row r="85" spans="2:17" s="113" customFormat="1" ht="30.75" hidden="1" customHeight="1" x14ac:dyDescent="0.25">
      <c r="B85" s="59"/>
      <c r="C85" s="119"/>
      <c r="D85" s="156"/>
      <c r="E85" s="157"/>
      <c r="F85" s="169" t="s">
        <v>46</v>
      </c>
      <c r="G85" s="170" t="s">
        <v>122</v>
      </c>
      <c r="H85" s="171"/>
      <c r="I85" s="116">
        <v>1</v>
      </c>
      <c r="J85" s="627">
        <v>1000000</v>
      </c>
      <c r="K85" s="125">
        <v>1000000</v>
      </c>
      <c r="L85" s="126"/>
      <c r="M85" s="517"/>
      <c r="N85" s="126"/>
    </row>
    <row r="86" spans="2:17" s="113" customFormat="1" ht="15.75" hidden="1" customHeight="1" x14ac:dyDescent="0.25">
      <c r="B86" s="59"/>
      <c r="C86" s="119"/>
      <c r="D86" s="156"/>
      <c r="E86" s="157"/>
      <c r="F86" s="169" t="s">
        <v>46</v>
      </c>
      <c r="G86" s="170" t="s">
        <v>123</v>
      </c>
      <c r="H86" s="171"/>
      <c r="I86" s="116">
        <v>2</v>
      </c>
      <c r="J86" s="627">
        <v>1000000</v>
      </c>
      <c r="K86" s="125">
        <v>1000000</v>
      </c>
      <c r="L86" s="126"/>
      <c r="M86" s="517"/>
      <c r="N86" s="126"/>
    </row>
    <row r="87" spans="2:17" s="113" customFormat="1" ht="15.75" hidden="1" customHeight="1" x14ac:dyDescent="0.25">
      <c r="B87" s="59"/>
      <c r="C87" s="119"/>
      <c r="D87" s="156"/>
      <c r="E87" s="157"/>
      <c r="F87" s="169" t="s">
        <v>46</v>
      </c>
      <c r="G87" s="170" t="s">
        <v>124</v>
      </c>
      <c r="H87" s="171"/>
      <c r="I87" s="116">
        <v>1</v>
      </c>
      <c r="J87" s="627">
        <v>1000000</v>
      </c>
      <c r="K87" s="125">
        <v>1000000</v>
      </c>
      <c r="L87" s="126"/>
      <c r="M87" s="517"/>
      <c r="N87" s="126"/>
    </row>
    <row r="88" spans="2:17" s="113" customFormat="1" ht="21.75" hidden="1" customHeight="1" x14ac:dyDescent="0.25">
      <c r="B88" s="59"/>
      <c r="C88" s="39"/>
      <c r="D88" s="109"/>
      <c r="E88" s="88"/>
      <c r="F88" s="1577" t="s">
        <v>125</v>
      </c>
      <c r="G88" s="1578"/>
      <c r="H88" s="172" t="s">
        <v>126</v>
      </c>
      <c r="I88" s="110"/>
      <c r="J88" s="625">
        <v>0</v>
      </c>
      <c r="K88" s="111">
        <v>0</v>
      </c>
      <c r="L88" s="112"/>
      <c r="M88" s="516"/>
      <c r="N88" s="112"/>
    </row>
    <row r="89" spans="2:17" s="62" customFormat="1" ht="21" customHeight="1" x14ac:dyDescent="0.25">
      <c r="B89" s="59"/>
      <c r="C89" s="39"/>
      <c r="D89" s="109"/>
      <c r="E89" s="88" t="s">
        <v>439</v>
      </c>
      <c r="F89" s="1577" t="s">
        <v>127</v>
      </c>
      <c r="G89" s="1578"/>
      <c r="H89" s="173" t="s">
        <v>128</v>
      </c>
      <c r="I89" s="134" t="s">
        <v>397</v>
      </c>
      <c r="J89" s="626">
        <f>SUM(J90:J90)</f>
        <v>10000000000</v>
      </c>
      <c r="K89" s="117">
        <f>SUM(K90:K90)</f>
        <v>10000000000</v>
      </c>
      <c r="L89" s="118"/>
      <c r="M89" s="518"/>
      <c r="N89" s="118"/>
    </row>
    <row r="90" spans="2:17" s="113" customFormat="1" x14ac:dyDescent="0.25">
      <c r="B90" s="59"/>
      <c r="C90" s="127"/>
      <c r="D90" s="128"/>
      <c r="E90" s="115"/>
      <c r="F90" s="174" t="s">
        <v>46</v>
      </c>
      <c r="G90" s="175" t="s">
        <v>129</v>
      </c>
      <c r="H90" s="602"/>
      <c r="I90" s="176" t="s">
        <v>393</v>
      </c>
      <c r="J90" s="635">
        <v>10000000000</v>
      </c>
      <c r="K90" s="177">
        <v>10000000000</v>
      </c>
      <c r="L90" s="178"/>
      <c r="M90" s="525"/>
      <c r="N90" s="178"/>
    </row>
    <row r="91" spans="2:17" s="62" customFormat="1" ht="19.5" customHeight="1" x14ac:dyDescent="0.25">
      <c r="B91" s="59"/>
      <c r="C91" s="39"/>
      <c r="D91" s="109"/>
      <c r="E91" s="88" t="s">
        <v>440</v>
      </c>
      <c r="F91" s="1577" t="s">
        <v>130</v>
      </c>
      <c r="G91" s="1578"/>
      <c r="H91" s="165" t="s">
        <v>131</v>
      </c>
      <c r="I91" s="134" t="s">
        <v>398</v>
      </c>
      <c r="J91" s="626">
        <f>SUM(J92:J93)</f>
        <v>12000000000</v>
      </c>
      <c r="K91" s="117">
        <f>SUM(K92:K93)</f>
        <v>12000000000</v>
      </c>
      <c r="L91" s="118"/>
      <c r="M91" s="518"/>
      <c r="N91" s="118"/>
    </row>
    <row r="92" spans="2:17" s="113" customFormat="1" x14ac:dyDescent="0.25">
      <c r="B92" s="59"/>
      <c r="C92" s="127"/>
      <c r="D92" s="128"/>
      <c r="E92" s="115"/>
      <c r="F92" s="130" t="s">
        <v>46</v>
      </c>
      <c r="G92" s="180" t="s">
        <v>132</v>
      </c>
      <c r="H92" s="602"/>
      <c r="I92" s="176" t="s">
        <v>133</v>
      </c>
      <c r="J92" s="635">
        <f>4200000000+1800000000</f>
        <v>6000000000</v>
      </c>
      <c r="K92" s="177">
        <v>6000000000</v>
      </c>
      <c r="L92" s="178"/>
      <c r="M92" s="525"/>
      <c r="N92" s="178"/>
      <c r="O92" s="181"/>
      <c r="Q92" s="181"/>
    </row>
    <row r="93" spans="2:17" s="113" customFormat="1" x14ac:dyDescent="0.25">
      <c r="B93" s="59"/>
      <c r="C93" s="127"/>
      <c r="D93" s="128"/>
      <c r="E93" s="750"/>
      <c r="F93" s="751" t="s">
        <v>46</v>
      </c>
      <c r="G93" s="180" t="s">
        <v>135</v>
      </c>
      <c r="H93" s="601"/>
      <c r="I93" s="176" t="s">
        <v>133</v>
      </c>
      <c r="J93" s="635">
        <v>6000000000</v>
      </c>
      <c r="K93" s="177">
        <v>6000000000</v>
      </c>
      <c r="L93" s="178"/>
      <c r="M93" s="585"/>
      <c r="N93" s="178"/>
    </row>
    <row r="94" spans="2:17" s="62" customFormat="1" ht="28.5" customHeight="1" x14ac:dyDescent="0.25">
      <c r="B94" s="59"/>
      <c r="C94" s="39"/>
      <c r="D94" s="140"/>
      <c r="E94" s="749" t="s">
        <v>441</v>
      </c>
      <c r="F94" s="1582" t="s">
        <v>136</v>
      </c>
      <c r="G94" s="1583"/>
      <c r="H94" s="469" t="s">
        <v>137</v>
      </c>
      <c r="I94" s="200" t="s">
        <v>404</v>
      </c>
      <c r="J94" s="626">
        <f>SUM(J95:J97)</f>
        <v>26300000000</v>
      </c>
      <c r="K94" s="117">
        <f>SUM(K95:K97)</f>
        <v>28000000000</v>
      </c>
      <c r="L94" s="118"/>
      <c r="M94" s="586"/>
      <c r="N94" s="118"/>
    </row>
    <row r="95" spans="2:17" s="113" customFormat="1" x14ac:dyDescent="0.25">
      <c r="B95" s="59"/>
      <c r="C95" s="127"/>
      <c r="D95" s="128"/>
      <c r="E95" s="750"/>
      <c r="F95" s="751" t="s">
        <v>46</v>
      </c>
      <c r="G95" s="201" t="s">
        <v>138</v>
      </c>
      <c r="H95" s="601"/>
      <c r="I95" s="176" t="s">
        <v>109</v>
      </c>
      <c r="J95" s="635">
        <f>12500000000+500000000</f>
        <v>13000000000</v>
      </c>
      <c r="K95" s="177">
        <v>13000000000</v>
      </c>
      <c r="L95" s="178"/>
      <c r="M95" s="585"/>
      <c r="N95" s="178"/>
    </row>
    <row r="96" spans="2:17" s="113" customFormat="1" ht="12.75" customHeight="1" x14ac:dyDescent="0.25">
      <c r="B96" s="59"/>
      <c r="C96" s="127"/>
      <c r="D96" s="128"/>
      <c r="E96" s="750"/>
      <c r="F96" s="751" t="s">
        <v>46</v>
      </c>
      <c r="G96" s="201" t="s">
        <v>139</v>
      </c>
      <c r="H96" s="752"/>
      <c r="I96" s="176" t="s">
        <v>159</v>
      </c>
      <c r="J96" s="635">
        <v>5800000000</v>
      </c>
      <c r="K96" s="177">
        <f>5800000000+1700000000</f>
        <v>7500000000</v>
      </c>
      <c r="L96" s="178"/>
      <c r="M96" s="585"/>
      <c r="N96" s="178"/>
    </row>
    <row r="97" spans="2:15" s="113" customFormat="1" ht="15" customHeight="1" x14ac:dyDescent="0.25">
      <c r="B97" s="59"/>
      <c r="C97" s="127"/>
      <c r="D97" s="128"/>
      <c r="E97" s="750"/>
      <c r="F97" s="751" t="s">
        <v>46</v>
      </c>
      <c r="G97" s="201" t="s">
        <v>140</v>
      </c>
      <c r="H97" s="601"/>
      <c r="I97" s="176" t="s">
        <v>111</v>
      </c>
      <c r="J97" s="635">
        <v>7500000000</v>
      </c>
      <c r="K97" s="177">
        <v>7500000000</v>
      </c>
      <c r="L97" s="178"/>
      <c r="M97" s="585"/>
      <c r="N97" s="178"/>
    </row>
    <row r="98" spans="2:15" s="113" customFormat="1" ht="31.5" customHeight="1" x14ac:dyDescent="0.25">
      <c r="B98" s="59"/>
      <c r="C98" s="39"/>
      <c r="D98" s="140"/>
      <c r="E98" s="749" t="s">
        <v>442</v>
      </c>
      <c r="F98" s="1582" t="s">
        <v>145</v>
      </c>
      <c r="G98" s="1583"/>
      <c r="H98" s="676" t="s">
        <v>146</v>
      </c>
      <c r="I98" s="200" t="s">
        <v>113</v>
      </c>
      <c r="J98" s="625">
        <f>SUM(J99:J103)</f>
        <v>21200000000</v>
      </c>
      <c r="K98" s="111">
        <f>SUM(K99:K103)</f>
        <v>22200000000</v>
      </c>
      <c r="L98" s="112"/>
      <c r="M98" s="585"/>
      <c r="N98" s="112"/>
    </row>
    <row r="99" spans="2:15" s="113" customFormat="1" ht="15.75" customHeight="1" x14ac:dyDescent="0.25">
      <c r="B99" s="59"/>
      <c r="C99" s="127"/>
      <c r="D99" s="128"/>
      <c r="E99" s="750"/>
      <c r="F99" s="751" t="s">
        <v>46</v>
      </c>
      <c r="G99" s="175" t="s">
        <v>147</v>
      </c>
      <c r="H99" s="601"/>
      <c r="I99" s="176" t="s">
        <v>111</v>
      </c>
      <c r="J99" s="635">
        <v>5000000000</v>
      </c>
      <c r="K99" s="177">
        <v>5000000000</v>
      </c>
      <c r="L99" s="178"/>
      <c r="M99" s="585"/>
      <c r="N99" s="178"/>
    </row>
    <row r="100" spans="2:15" s="113" customFormat="1" ht="15.75" customHeight="1" x14ac:dyDescent="0.25">
      <c r="B100" s="59"/>
      <c r="C100" s="127"/>
      <c r="D100" s="128"/>
      <c r="E100" s="750"/>
      <c r="F100" s="751" t="s">
        <v>46</v>
      </c>
      <c r="G100" s="175" t="s">
        <v>149</v>
      </c>
      <c r="H100" s="601"/>
      <c r="I100" s="176" t="s">
        <v>142</v>
      </c>
      <c r="J100" s="635">
        <v>6000000000</v>
      </c>
      <c r="K100" s="177">
        <v>6000000000</v>
      </c>
      <c r="L100" s="178"/>
      <c r="M100" s="585"/>
      <c r="N100" s="178"/>
    </row>
    <row r="101" spans="2:15" s="113" customFormat="1" x14ac:dyDescent="0.25">
      <c r="B101" s="59"/>
      <c r="C101" s="127"/>
      <c r="D101" s="128"/>
      <c r="E101" s="750"/>
      <c r="F101" s="753" t="s">
        <v>46</v>
      </c>
      <c r="G101" s="175" t="s">
        <v>150</v>
      </c>
      <c r="H101" s="601"/>
      <c r="I101" s="176" t="s">
        <v>399</v>
      </c>
      <c r="J101" s="635">
        <f>3000000000+3000000000</f>
        <v>6000000000</v>
      </c>
      <c r="K101" s="177">
        <v>6000000000</v>
      </c>
      <c r="L101" s="178"/>
      <c r="M101" s="585"/>
      <c r="N101" s="178"/>
    </row>
    <row r="102" spans="2:15" s="113" customFormat="1" ht="15.75" customHeight="1" x14ac:dyDescent="0.25">
      <c r="B102" s="703"/>
      <c r="C102" s="127"/>
      <c r="D102" s="128"/>
      <c r="E102" s="754"/>
      <c r="F102" s="755" t="s">
        <v>46</v>
      </c>
      <c r="G102" s="175" t="s">
        <v>394</v>
      </c>
      <c r="H102" s="601"/>
      <c r="I102" s="176" t="s">
        <v>174</v>
      </c>
      <c r="J102" s="635">
        <v>1000000000</v>
      </c>
      <c r="K102" s="177">
        <f>500000000+1000000000</f>
        <v>1500000000</v>
      </c>
      <c r="L102" s="178"/>
      <c r="M102" s="585"/>
      <c r="N102" s="178"/>
    </row>
    <row r="103" spans="2:15" s="113" customFormat="1" ht="15.75" customHeight="1" x14ac:dyDescent="0.25">
      <c r="B103" s="703"/>
      <c r="C103" s="127"/>
      <c r="D103" s="128"/>
      <c r="E103" s="754"/>
      <c r="F103" s="755" t="s">
        <v>46</v>
      </c>
      <c r="G103" s="175" t="s">
        <v>484</v>
      </c>
      <c r="H103" s="601"/>
      <c r="I103" s="176" t="s">
        <v>399</v>
      </c>
      <c r="J103" s="635">
        <v>3200000000</v>
      </c>
      <c r="K103" s="177">
        <f>500000000+3200000000</f>
        <v>3700000000</v>
      </c>
      <c r="L103" s="178"/>
      <c r="M103" s="585"/>
      <c r="N103" s="178"/>
    </row>
    <row r="104" spans="2:15" s="62" customFormat="1" ht="26.25" customHeight="1" x14ac:dyDescent="0.25">
      <c r="B104" s="59"/>
      <c r="C104" s="39"/>
      <c r="D104" s="140"/>
      <c r="E104" s="749" t="s">
        <v>443</v>
      </c>
      <c r="F104" s="1718" t="s">
        <v>155</v>
      </c>
      <c r="G104" s="1719"/>
      <c r="H104" s="469" t="s">
        <v>156</v>
      </c>
      <c r="I104" s="200" t="s">
        <v>141</v>
      </c>
      <c r="J104" s="626">
        <f>SUM(J105:J106)</f>
        <v>13500000000</v>
      </c>
      <c r="K104" s="117">
        <f>SUM(K105:K106)</f>
        <v>13500000000</v>
      </c>
      <c r="L104" s="118"/>
      <c r="M104" s="586"/>
      <c r="N104" s="118"/>
    </row>
    <row r="105" spans="2:15" s="113" customFormat="1" ht="13.5" customHeight="1" x14ac:dyDescent="0.25">
      <c r="B105" s="59"/>
      <c r="C105" s="127"/>
      <c r="D105" s="128"/>
      <c r="E105" s="750"/>
      <c r="F105" s="753" t="s">
        <v>46</v>
      </c>
      <c r="G105" s="175" t="s">
        <v>157</v>
      </c>
      <c r="H105" s="601"/>
      <c r="I105" s="176" t="s">
        <v>111</v>
      </c>
      <c r="J105" s="635">
        <v>7500000000</v>
      </c>
      <c r="K105" s="177">
        <v>7500000000</v>
      </c>
      <c r="L105" s="178"/>
      <c r="M105" s="585"/>
      <c r="N105" s="178"/>
    </row>
    <row r="106" spans="2:15" s="133" customFormat="1" x14ac:dyDescent="0.25">
      <c r="B106" s="59"/>
      <c r="C106" s="194"/>
      <c r="D106" s="195"/>
      <c r="E106" s="937"/>
      <c r="F106" s="751" t="s">
        <v>46</v>
      </c>
      <c r="G106" s="175" t="s">
        <v>158</v>
      </c>
      <c r="H106" s="601"/>
      <c r="I106" s="176" t="s">
        <v>111</v>
      </c>
      <c r="J106" s="635">
        <v>6000000000</v>
      </c>
      <c r="K106" s="177">
        <v>6000000000</v>
      </c>
      <c r="L106" s="199"/>
      <c r="M106" s="588"/>
      <c r="N106" s="199"/>
    </row>
    <row r="107" spans="2:15" s="62" customFormat="1" ht="24.75" customHeight="1" x14ac:dyDescent="0.25">
      <c r="B107" s="59"/>
      <c r="C107" s="39"/>
      <c r="D107" s="140"/>
      <c r="E107" s="749" t="s">
        <v>444</v>
      </c>
      <c r="F107" s="1582" t="s">
        <v>160</v>
      </c>
      <c r="G107" s="1583"/>
      <c r="H107" s="676" t="s">
        <v>161</v>
      </c>
      <c r="I107" s="200" t="s">
        <v>400</v>
      </c>
      <c r="J107" s="630">
        <f>SUM(J108:J110)</f>
        <v>14450000000</v>
      </c>
      <c r="K107" s="146">
        <f>SUM(K108:K110)</f>
        <v>14450000000</v>
      </c>
      <c r="L107" s="147"/>
      <c r="M107" s="586"/>
      <c r="N107" s="118"/>
    </row>
    <row r="108" spans="2:15" s="113" customFormat="1" ht="15.75" customHeight="1" x14ac:dyDescent="0.25">
      <c r="B108" s="59"/>
      <c r="C108" s="127"/>
      <c r="D108" s="128"/>
      <c r="E108" s="938"/>
      <c r="F108" s="753" t="s">
        <v>46</v>
      </c>
      <c r="G108" s="139" t="s">
        <v>162</v>
      </c>
      <c r="H108" s="601"/>
      <c r="I108" s="176" t="s">
        <v>148</v>
      </c>
      <c r="J108" s="635">
        <f>7500000000+450000000</f>
        <v>7950000000</v>
      </c>
      <c r="K108" s="177">
        <v>7950000000</v>
      </c>
      <c r="L108" s="178"/>
      <c r="M108" s="585"/>
      <c r="N108" s="178"/>
    </row>
    <row r="109" spans="2:15" s="113" customFormat="1" ht="15.75" customHeight="1" x14ac:dyDescent="0.25">
      <c r="B109" s="59"/>
      <c r="C109" s="127"/>
      <c r="D109" s="128"/>
      <c r="E109" s="750"/>
      <c r="F109" s="753" t="s">
        <v>46</v>
      </c>
      <c r="G109" s="139" t="s">
        <v>163</v>
      </c>
      <c r="H109" s="601"/>
      <c r="I109" s="176" t="s">
        <v>111</v>
      </c>
      <c r="J109" s="635">
        <v>3000000000</v>
      </c>
      <c r="K109" s="177">
        <v>3000000000</v>
      </c>
      <c r="L109" s="178"/>
      <c r="M109" s="585"/>
      <c r="N109" s="178"/>
    </row>
    <row r="110" spans="2:15" s="133" customFormat="1" ht="27" customHeight="1" x14ac:dyDescent="0.25">
      <c r="B110" s="59"/>
      <c r="C110" s="194"/>
      <c r="D110" s="195"/>
      <c r="E110" s="937"/>
      <c r="F110" s="757" t="s">
        <v>46</v>
      </c>
      <c r="G110" s="139" t="s">
        <v>164</v>
      </c>
      <c r="H110" s="601"/>
      <c r="I110" s="176" t="s">
        <v>165</v>
      </c>
      <c r="J110" s="635">
        <v>3500000000</v>
      </c>
      <c r="K110" s="177">
        <v>3500000000</v>
      </c>
      <c r="L110" s="199"/>
      <c r="M110" s="588"/>
      <c r="N110" s="199"/>
    </row>
    <row r="111" spans="2:15" s="62" customFormat="1" ht="27" customHeight="1" x14ac:dyDescent="0.25">
      <c r="B111" s="59"/>
      <c r="C111" s="39"/>
      <c r="D111" s="140"/>
      <c r="E111" s="749" t="s">
        <v>445</v>
      </c>
      <c r="F111" s="1582" t="s">
        <v>167</v>
      </c>
      <c r="G111" s="1583"/>
      <c r="H111" s="469" t="s">
        <v>168</v>
      </c>
      <c r="I111" s="756" t="s">
        <v>405</v>
      </c>
      <c r="J111" s="630">
        <f>SUM(J112:J114)</f>
        <v>11065000000</v>
      </c>
      <c r="K111" s="146">
        <f>SUM(K112:K114)</f>
        <v>11565000000</v>
      </c>
      <c r="L111" s="147"/>
      <c r="M111" s="589"/>
      <c r="N111" s="118"/>
      <c r="O111" s="179"/>
    </row>
    <row r="112" spans="2:15" s="113" customFormat="1" x14ac:dyDescent="0.25">
      <c r="B112" s="59"/>
      <c r="C112" s="127"/>
      <c r="D112" s="128"/>
      <c r="E112" s="750"/>
      <c r="F112" s="753" t="s">
        <v>46</v>
      </c>
      <c r="G112" s="175" t="s">
        <v>150</v>
      </c>
      <c r="H112" s="601"/>
      <c r="I112" s="176" t="s">
        <v>159</v>
      </c>
      <c r="J112" s="635">
        <v>4215000000</v>
      </c>
      <c r="K112" s="177">
        <f>4000000000+215000000</f>
        <v>4215000000</v>
      </c>
      <c r="L112" s="178"/>
      <c r="M112" s="585"/>
      <c r="N112" s="178"/>
    </row>
    <row r="113" spans="2:17" s="113" customFormat="1" x14ac:dyDescent="0.25">
      <c r="B113" s="59"/>
      <c r="C113" s="127"/>
      <c r="D113" s="128"/>
      <c r="E113" s="750"/>
      <c r="F113" s="753" t="s">
        <v>46</v>
      </c>
      <c r="G113" s="175" t="s">
        <v>169</v>
      </c>
      <c r="H113" s="601"/>
      <c r="I113" s="176" t="s">
        <v>148</v>
      </c>
      <c r="J113" s="635">
        <v>6000000000</v>
      </c>
      <c r="K113" s="177">
        <v>6000000000</v>
      </c>
      <c r="L113" s="178"/>
      <c r="M113" s="585"/>
      <c r="N113" s="178"/>
    </row>
    <row r="114" spans="2:17" s="113" customFormat="1" ht="15.75" customHeight="1" x14ac:dyDescent="0.25">
      <c r="B114" s="703"/>
      <c r="C114" s="127"/>
      <c r="D114" s="128"/>
      <c r="E114" s="754"/>
      <c r="F114" s="757" t="s">
        <v>46</v>
      </c>
      <c r="G114" s="175" t="s">
        <v>170</v>
      </c>
      <c r="H114" s="601"/>
      <c r="I114" s="758" t="s">
        <v>401</v>
      </c>
      <c r="J114" s="635">
        <v>850000000</v>
      </c>
      <c r="K114" s="177">
        <f>500000000+850000000</f>
        <v>1350000000</v>
      </c>
      <c r="L114" s="178"/>
      <c r="M114" s="585"/>
      <c r="N114" s="178"/>
    </row>
    <row r="115" spans="2:17" s="62" customFormat="1" ht="31.5" customHeight="1" x14ac:dyDescent="0.25">
      <c r="B115" s="59"/>
      <c r="C115" s="39"/>
      <c r="D115" s="140"/>
      <c r="E115" s="749" t="s">
        <v>446</v>
      </c>
      <c r="F115" s="1582" t="s">
        <v>172</v>
      </c>
      <c r="G115" s="1583"/>
      <c r="H115" s="469" t="s">
        <v>173</v>
      </c>
      <c r="I115" s="200" t="str">
        <f>I116</f>
        <v>0,5 Km</v>
      </c>
      <c r="J115" s="630">
        <f>J116</f>
        <v>3000000000</v>
      </c>
      <c r="K115" s="146">
        <f>K116</f>
        <v>3000000000</v>
      </c>
      <c r="L115" s="147"/>
      <c r="M115" s="586"/>
      <c r="N115" s="118"/>
    </row>
    <row r="116" spans="2:17" s="113" customFormat="1" x14ac:dyDescent="0.25">
      <c r="B116" s="59"/>
      <c r="C116" s="127"/>
      <c r="D116" s="128"/>
      <c r="E116" s="115"/>
      <c r="F116" s="130" t="s">
        <v>46</v>
      </c>
      <c r="G116" s="175" t="s">
        <v>175</v>
      </c>
      <c r="H116" s="602"/>
      <c r="I116" s="176" t="s">
        <v>144</v>
      </c>
      <c r="J116" s="627">
        <v>3000000000</v>
      </c>
      <c r="K116" s="125">
        <v>3000000000</v>
      </c>
      <c r="L116" s="126"/>
      <c r="M116" s="585"/>
      <c r="N116" s="126"/>
    </row>
    <row r="117" spans="2:17" s="113" customFormat="1" ht="29.25" customHeight="1" x14ac:dyDescent="0.25">
      <c r="B117" s="59"/>
      <c r="C117" s="39"/>
      <c r="D117" s="109"/>
      <c r="E117" s="88" t="s">
        <v>447</v>
      </c>
      <c r="F117" s="1577" t="s">
        <v>176</v>
      </c>
      <c r="G117" s="1578"/>
      <c r="H117" s="173" t="s">
        <v>177</v>
      </c>
      <c r="I117" s="200" t="str">
        <f>I118</f>
        <v>0,9 Km</v>
      </c>
      <c r="J117" s="625">
        <f>SUM(J118)</f>
        <v>5000000000</v>
      </c>
      <c r="K117" s="111">
        <f>SUM(K118)</f>
        <v>5000000000</v>
      </c>
      <c r="L117" s="112"/>
      <c r="M117" s="585"/>
      <c r="N117" s="112"/>
    </row>
    <row r="118" spans="2:17" s="113" customFormat="1" ht="15.75" customHeight="1" x14ac:dyDescent="0.25">
      <c r="B118" s="59"/>
      <c r="C118" s="127"/>
      <c r="D118" s="128"/>
      <c r="E118" s="216"/>
      <c r="F118" s="130" t="s">
        <v>46</v>
      </c>
      <c r="G118" s="175" t="s">
        <v>178</v>
      </c>
      <c r="H118" s="602"/>
      <c r="I118" s="217" t="s">
        <v>396</v>
      </c>
      <c r="J118" s="638">
        <v>5000000000</v>
      </c>
      <c r="K118" s="218">
        <v>5000000000</v>
      </c>
      <c r="L118" s="219"/>
      <c r="M118" s="585"/>
      <c r="N118" s="493"/>
    </row>
    <row r="119" spans="2:17" s="113" customFormat="1" ht="24" customHeight="1" x14ac:dyDescent="0.25">
      <c r="B119" s="59"/>
      <c r="C119" s="39"/>
      <c r="D119" s="109"/>
      <c r="E119" s="88" t="s">
        <v>389</v>
      </c>
      <c r="F119" s="1577" t="s">
        <v>179</v>
      </c>
      <c r="G119" s="1578"/>
      <c r="H119" s="173" t="s">
        <v>180</v>
      </c>
      <c r="I119" s="200" t="str">
        <f>I120</f>
        <v>1,1 Km</v>
      </c>
      <c r="J119" s="625">
        <f>SUM(J120)</f>
        <v>12000000000</v>
      </c>
      <c r="K119" s="111">
        <f>SUM(K120)</f>
        <v>12000000000</v>
      </c>
      <c r="L119" s="112"/>
      <c r="M119" s="585"/>
      <c r="N119" s="112"/>
    </row>
    <row r="120" spans="2:17" s="113" customFormat="1" ht="13.5" customHeight="1" x14ac:dyDescent="0.25">
      <c r="B120" s="59"/>
      <c r="C120" s="127"/>
      <c r="D120" s="128"/>
      <c r="E120" s="115"/>
      <c r="F120" s="130" t="s">
        <v>46</v>
      </c>
      <c r="G120" s="220" t="s">
        <v>468</v>
      </c>
      <c r="H120" s="602"/>
      <c r="I120" s="176" t="s">
        <v>406</v>
      </c>
      <c r="J120" s="635">
        <v>12000000000</v>
      </c>
      <c r="K120" s="177">
        <v>12000000000</v>
      </c>
      <c r="L120" s="178"/>
      <c r="M120" s="585"/>
      <c r="N120" s="178"/>
    </row>
    <row r="121" spans="2:17" s="62" customFormat="1" ht="27.75" customHeight="1" x14ac:dyDescent="0.25">
      <c r="B121" s="59"/>
      <c r="C121" s="39"/>
      <c r="D121" s="109"/>
      <c r="E121" s="88" t="s">
        <v>448</v>
      </c>
      <c r="F121" s="1577" t="s">
        <v>181</v>
      </c>
      <c r="G121" s="1578"/>
      <c r="H121" s="173" t="s">
        <v>182</v>
      </c>
      <c r="I121" s="200" t="s">
        <v>462</v>
      </c>
      <c r="J121" s="626">
        <f>SUM(J122:J123)</f>
        <v>8700000000</v>
      </c>
      <c r="K121" s="117">
        <f>SUM(K122:K123)</f>
        <v>8700000000</v>
      </c>
      <c r="L121" s="118"/>
      <c r="M121" s="589"/>
      <c r="N121" s="118"/>
      <c r="O121" s="179"/>
    </row>
    <row r="122" spans="2:17" s="113" customFormat="1" x14ac:dyDescent="0.25">
      <c r="B122" s="59"/>
      <c r="C122" s="127"/>
      <c r="D122" s="128"/>
      <c r="E122" s="115"/>
      <c r="F122" s="174" t="s">
        <v>46</v>
      </c>
      <c r="G122" s="175" t="s">
        <v>424</v>
      </c>
      <c r="H122" s="602"/>
      <c r="I122" s="176" t="s">
        <v>451</v>
      </c>
      <c r="J122" s="635">
        <v>3000000000</v>
      </c>
      <c r="K122" s="177">
        <v>3000000000</v>
      </c>
      <c r="L122" s="178"/>
      <c r="M122" s="585"/>
      <c r="N122" s="178"/>
    </row>
    <row r="123" spans="2:17" s="113" customFormat="1" x14ac:dyDescent="0.25">
      <c r="B123" s="59"/>
      <c r="C123" s="127"/>
      <c r="D123" s="128"/>
      <c r="E123" s="115"/>
      <c r="F123" s="174" t="s">
        <v>46</v>
      </c>
      <c r="G123" s="175" t="s">
        <v>183</v>
      </c>
      <c r="H123" s="602"/>
      <c r="I123" s="483" t="s">
        <v>395</v>
      </c>
      <c r="J123" s="635">
        <v>5700000000</v>
      </c>
      <c r="K123" s="177">
        <f>500000000+5200000000</f>
        <v>5700000000</v>
      </c>
      <c r="L123" s="178"/>
      <c r="M123" s="585"/>
      <c r="N123" s="178"/>
    </row>
    <row r="124" spans="2:17" s="29" customFormat="1" ht="26.25" customHeight="1" x14ac:dyDescent="0.25">
      <c r="B124" s="13"/>
      <c r="C124" s="39"/>
      <c r="D124" s="109"/>
      <c r="E124" s="88" t="s">
        <v>449</v>
      </c>
      <c r="F124" s="1579" t="s">
        <v>186</v>
      </c>
      <c r="G124" s="1580"/>
      <c r="H124" s="173" t="s">
        <v>187</v>
      </c>
      <c r="I124" s="224" t="s">
        <v>463</v>
      </c>
      <c r="J124" s="630">
        <f>SUM(J125:J126)</f>
        <v>11500000000</v>
      </c>
      <c r="K124" s="146">
        <f>SUM(K125:K126)</f>
        <v>11500000000</v>
      </c>
      <c r="L124" s="147"/>
      <c r="M124" s="590"/>
      <c r="N124" s="118"/>
    </row>
    <row r="125" spans="2:17" s="113" customFormat="1" ht="15.75" customHeight="1" x14ac:dyDescent="0.25">
      <c r="B125" s="59"/>
      <c r="C125" s="127"/>
      <c r="D125" s="128"/>
      <c r="E125" s="115"/>
      <c r="F125" s="225" t="s">
        <v>46</v>
      </c>
      <c r="G125" s="139" t="s">
        <v>423</v>
      </c>
      <c r="H125" s="602"/>
      <c r="I125" s="176" t="s">
        <v>111</v>
      </c>
      <c r="J125" s="639">
        <v>4000000000</v>
      </c>
      <c r="K125" s="226">
        <f>2000000000+2000000000</f>
        <v>4000000000</v>
      </c>
      <c r="L125" s="227"/>
      <c r="M125" s="585"/>
      <c r="N125" s="126"/>
    </row>
    <row r="126" spans="2:17" s="113" customFormat="1" ht="15" customHeight="1" x14ac:dyDescent="0.25">
      <c r="B126" s="59"/>
      <c r="C126" s="127"/>
      <c r="D126" s="128"/>
      <c r="E126" s="115"/>
      <c r="F126" s="130" t="s">
        <v>46</v>
      </c>
      <c r="G126" s="201" t="s">
        <v>140</v>
      </c>
      <c r="H126" s="602"/>
      <c r="I126" s="116" t="s">
        <v>141</v>
      </c>
      <c r="J126" s="635">
        <v>7500000000</v>
      </c>
      <c r="K126" s="177">
        <v>7500000000</v>
      </c>
      <c r="L126" s="178"/>
      <c r="M126" s="585"/>
      <c r="N126" s="178"/>
    </row>
    <row r="127" spans="2:17" ht="3.75" customHeight="1" x14ac:dyDescent="0.25">
      <c r="C127" s="471"/>
      <c r="D127" s="375"/>
      <c r="E127" s="96"/>
      <c r="F127" s="472"/>
      <c r="G127" s="473"/>
      <c r="H127" s="474"/>
      <c r="I127" s="475"/>
      <c r="J127" s="640"/>
      <c r="K127" s="476"/>
      <c r="L127" s="228"/>
      <c r="M127" s="594"/>
      <c r="N127" s="494"/>
      <c r="O127" s="229"/>
      <c r="Q127" s="230"/>
    </row>
    <row r="128" spans="2:17" s="15" customFormat="1" ht="22.5" customHeight="1" x14ac:dyDescent="0.25">
      <c r="B128" s="13"/>
      <c r="C128" s="1506" t="s">
        <v>452</v>
      </c>
      <c r="D128" s="1507"/>
      <c r="E128" s="1558" t="s">
        <v>189</v>
      </c>
      <c r="F128" s="1559"/>
      <c r="G128" s="1560"/>
      <c r="H128" s="231" t="s">
        <v>190</v>
      </c>
      <c r="I128" s="232"/>
      <c r="J128" s="641">
        <f>J129+J130+J131+J132+J136+J137+J138+J139+J140+J141+J142+J145+J146+J147+J148+J149+J150+J151</f>
        <v>61485840000</v>
      </c>
      <c r="K128" s="233">
        <f>K129+K130+K131+K132+K136+K137+K138+K139+K140+K141+K142+K145+K146+K147+K148+K149+K150+K151</f>
        <v>58285840000</v>
      </c>
      <c r="L128" s="26"/>
      <c r="M128" s="596"/>
      <c r="N128" s="495"/>
      <c r="O128" s="234"/>
      <c r="P128" s="21"/>
    </row>
    <row r="129" spans="2:17" s="29" customFormat="1" ht="18" customHeight="1" x14ac:dyDescent="0.25">
      <c r="B129" s="13"/>
      <c r="C129" s="49"/>
      <c r="D129" s="79"/>
      <c r="E129" s="77" t="s">
        <v>5</v>
      </c>
      <c r="F129" s="1575" t="s">
        <v>191</v>
      </c>
      <c r="G129" s="1576"/>
      <c r="H129" s="235" t="s">
        <v>192</v>
      </c>
      <c r="I129" s="236" t="s">
        <v>471</v>
      </c>
      <c r="J129" s="642">
        <v>2135760000</v>
      </c>
      <c r="K129" s="237">
        <v>2135760000</v>
      </c>
      <c r="L129" s="238"/>
      <c r="M129" s="595"/>
      <c r="N129" s="496"/>
      <c r="O129" s="148"/>
    </row>
    <row r="130" spans="2:17" s="29" customFormat="1" ht="21" customHeight="1" x14ac:dyDescent="0.25">
      <c r="B130" s="13"/>
      <c r="C130" s="49"/>
      <c r="D130" s="79"/>
      <c r="E130" s="77" t="s">
        <v>10</v>
      </c>
      <c r="F130" s="1569" t="s">
        <v>193</v>
      </c>
      <c r="G130" s="1570"/>
      <c r="H130" s="235" t="s">
        <v>194</v>
      </c>
      <c r="I130" s="236" t="s">
        <v>403</v>
      </c>
      <c r="J130" s="642">
        <v>2422200000</v>
      </c>
      <c r="K130" s="237">
        <v>2422200000</v>
      </c>
      <c r="L130" s="238"/>
      <c r="M130" s="591"/>
      <c r="N130" s="496"/>
      <c r="O130" s="63"/>
      <c r="P130" s="28"/>
    </row>
    <row r="131" spans="2:17" s="29" customFormat="1" ht="24.75" customHeight="1" x14ac:dyDescent="0.25">
      <c r="B131" s="13"/>
      <c r="C131" s="39"/>
      <c r="D131" s="140"/>
      <c r="E131" s="109" t="s">
        <v>13</v>
      </c>
      <c r="F131" s="1569" t="s">
        <v>195</v>
      </c>
      <c r="G131" s="1570"/>
      <c r="H131" s="239" t="s">
        <v>196</v>
      </c>
      <c r="I131" s="240" t="s">
        <v>472</v>
      </c>
      <c r="J131" s="643">
        <v>2632740000</v>
      </c>
      <c r="K131" s="241">
        <v>2632740000</v>
      </c>
      <c r="L131" s="238"/>
      <c r="M131" s="591"/>
      <c r="N131" s="496"/>
      <c r="O131" s="63"/>
      <c r="P131" s="242"/>
    </row>
    <row r="132" spans="2:17" s="29" customFormat="1" ht="29.25" customHeight="1" x14ac:dyDescent="0.25">
      <c r="B132" s="13"/>
      <c r="C132" s="39"/>
      <c r="D132" s="140"/>
      <c r="E132" s="109" t="s">
        <v>16</v>
      </c>
      <c r="F132" s="1569" t="s">
        <v>197</v>
      </c>
      <c r="G132" s="1570"/>
      <c r="H132" s="239" t="s">
        <v>198</v>
      </c>
      <c r="I132" s="240" t="s">
        <v>199</v>
      </c>
      <c r="J132" s="643">
        <f>SUM(J133:J135)</f>
        <v>3884440000</v>
      </c>
      <c r="K132" s="241">
        <f>SUM(K133:K135)</f>
        <v>3884440000</v>
      </c>
      <c r="L132" s="238"/>
      <c r="M132" s="589"/>
      <c r="N132" s="496"/>
      <c r="O132" s="179"/>
    </row>
    <row r="133" spans="2:17" s="306" customFormat="1" ht="16.5" customHeight="1" x14ac:dyDescent="0.25">
      <c r="B133" s="461"/>
      <c r="C133" s="462"/>
      <c r="D133" s="463"/>
      <c r="E133" s="341"/>
      <c r="F133" s="464" t="s">
        <v>46</v>
      </c>
      <c r="G133" s="460" t="s">
        <v>197</v>
      </c>
      <c r="H133" s="465"/>
      <c r="I133" s="466"/>
      <c r="J133" s="644">
        <v>2684440000</v>
      </c>
      <c r="K133" s="467">
        <v>2684440000</v>
      </c>
      <c r="L133" s="468"/>
      <c r="M133" s="585"/>
      <c r="N133" s="497"/>
      <c r="O133" s="113"/>
    </row>
    <row r="134" spans="2:17" s="306" customFormat="1" ht="29.25" customHeight="1" x14ac:dyDescent="0.25">
      <c r="B134" s="461"/>
      <c r="C134" s="462"/>
      <c r="D134" s="463"/>
      <c r="E134" s="341"/>
      <c r="F134" s="464" t="s">
        <v>46</v>
      </c>
      <c r="G134" s="460" t="s">
        <v>337</v>
      </c>
      <c r="H134" s="465"/>
      <c r="I134" s="466"/>
      <c r="J134" s="644">
        <v>200000000</v>
      </c>
      <c r="K134" s="467">
        <v>200000000</v>
      </c>
      <c r="L134" s="468"/>
      <c r="M134" s="585" t="s">
        <v>338</v>
      </c>
      <c r="N134" s="497">
        <v>200000000</v>
      </c>
      <c r="O134" s="113" t="s">
        <v>338</v>
      </c>
    </row>
    <row r="135" spans="2:17" s="306" customFormat="1" ht="25.5" x14ac:dyDescent="0.25">
      <c r="B135" s="461"/>
      <c r="C135" s="119"/>
      <c r="D135" s="128"/>
      <c r="E135" s="156"/>
      <c r="F135" s="264" t="s">
        <v>46</v>
      </c>
      <c r="G135" s="812" t="s">
        <v>200</v>
      </c>
      <c r="H135" s="813"/>
      <c r="I135" s="814"/>
      <c r="J135" s="815">
        <f>1000000000</f>
        <v>1000000000</v>
      </c>
      <c r="K135" s="816">
        <f>1000000000</f>
        <v>1000000000</v>
      </c>
      <c r="L135" s="817"/>
      <c r="M135" s="818" t="s">
        <v>420</v>
      </c>
      <c r="N135" s="819">
        <v>1000000000</v>
      </c>
      <c r="O135" s="820" t="s">
        <v>420</v>
      </c>
      <c r="Q135" s="820"/>
    </row>
    <row r="136" spans="2:17" s="29" customFormat="1" ht="31.5" customHeight="1" x14ac:dyDescent="0.25">
      <c r="B136" s="13"/>
      <c r="C136" s="39"/>
      <c r="D136" s="140"/>
      <c r="E136" s="109" t="s">
        <v>19</v>
      </c>
      <c r="F136" s="1569" t="s">
        <v>391</v>
      </c>
      <c r="G136" s="1570"/>
      <c r="H136" s="239" t="s">
        <v>201</v>
      </c>
      <c r="I136" s="240" t="s">
        <v>474</v>
      </c>
      <c r="J136" s="643">
        <v>2770240000</v>
      </c>
      <c r="K136" s="241">
        <v>2770240000</v>
      </c>
      <c r="L136" s="238"/>
      <c r="M136" s="526"/>
      <c r="N136" s="496"/>
    </row>
    <row r="137" spans="2:17" s="29" customFormat="1" ht="30.75" customHeight="1" x14ac:dyDescent="0.25">
      <c r="B137" s="13"/>
      <c r="C137" s="39"/>
      <c r="D137" s="140"/>
      <c r="E137" s="109" t="s">
        <v>27</v>
      </c>
      <c r="F137" s="1569" t="s">
        <v>202</v>
      </c>
      <c r="G137" s="1570"/>
      <c r="H137" s="239" t="s">
        <v>203</v>
      </c>
      <c r="I137" s="240" t="s">
        <v>475</v>
      </c>
      <c r="J137" s="643">
        <v>1778480000</v>
      </c>
      <c r="K137" s="241">
        <v>1778480000</v>
      </c>
      <c r="L137" s="238"/>
      <c r="M137" s="526"/>
      <c r="N137" s="496"/>
    </row>
    <row r="138" spans="2:17" s="29" customFormat="1" ht="18" customHeight="1" x14ac:dyDescent="0.25">
      <c r="B138" s="13"/>
      <c r="C138" s="39"/>
      <c r="D138" s="140"/>
      <c r="E138" s="109" t="s">
        <v>30</v>
      </c>
      <c r="F138" s="1569" t="s">
        <v>204</v>
      </c>
      <c r="G138" s="1570"/>
      <c r="H138" s="239" t="s">
        <v>205</v>
      </c>
      <c r="I138" s="240" t="s">
        <v>476</v>
      </c>
      <c r="J138" s="643">
        <v>2292620000</v>
      </c>
      <c r="K138" s="241">
        <v>2292620000</v>
      </c>
      <c r="L138" s="238"/>
      <c r="M138" s="526"/>
      <c r="N138" s="496"/>
    </row>
    <row r="139" spans="2:17" s="29" customFormat="1" ht="19.5" customHeight="1" x14ac:dyDescent="0.25">
      <c r="B139" s="13"/>
      <c r="C139" s="39"/>
      <c r="D139" s="140"/>
      <c r="E139" s="109" t="s">
        <v>8</v>
      </c>
      <c r="F139" s="1569" t="s">
        <v>206</v>
      </c>
      <c r="G139" s="1570"/>
      <c r="H139" s="239" t="s">
        <v>207</v>
      </c>
      <c r="I139" s="240" t="s">
        <v>477</v>
      </c>
      <c r="J139" s="643">
        <v>2560360000</v>
      </c>
      <c r="K139" s="241">
        <v>2560360000</v>
      </c>
      <c r="L139" s="238"/>
      <c r="M139" s="526"/>
      <c r="N139" s="496"/>
    </row>
    <row r="140" spans="2:17" s="29" customFormat="1" ht="31.5" customHeight="1" x14ac:dyDescent="0.25">
      <c r="B140" s="13"/>
      <c r="C140" s="39"/>
      <c r="D140" s="140"/>
      <c r="E140" s="109" t="s">
        <v>22</v>
      </c>
      <c r="F140" s="1569" t="s">
        <v>208</v>
      </c>
      <c r="G140" s="1570"/>
      <c r="H140" s="239" t="s">
        <v>209</v>
      </c>
      <c r="I140" s="240" t="s">
        <v>478</v>
      </c>
      <c r="J140" s="643">
        <v>3006520000</v>
      </c>
      <c r="K140" s="241">
        <v>3006520000</v>
      </c>
      <c r="L140" s="238"/>
      <c r="M140" s="526"/>
      <c r="N140" s="496"/>
    </row>
    <row r="141" spans="2:17" s="29" customFormat="1" ht="21" customHeight="1" x14ac:dyDescent="0.25">
      <c r="B141" s="13"/>
      <c r="C141" s="39"/>
      <c r="D141" s="140"/>
      <c r="E141" s="109" t="s">
        <v>210</v>
      </c>
      <c r="F141" s="1569" t="s">
        <v>211</v>
      </c>
      <c r="G141" s="1570"/>
      <c r="H141" s="239" t="s">
        <v>212</v>
      </c>
      <c r="I141" s="240" t="s">
        <v>473</v>
      </c>
      <c r="J141" s="643">
        <v>1980000000</v>
      </c>
      <c r="K141" s="241">
        <v>1980000000</v>
      </c>
      <c r="L141" s="238"/>
      <c r="M141" s="526"/>
      <c r="N141" s="496"/>
    </row>
    <row r="142" spans="2:17" s="29" customFormat="1" ht="27.75" customHeight="1" x14ac:dyDescent="0.25">
      <c r="B142" s="13"/>
      <c r="C142" s="39"/>
      <c r="D142" s="140"/>
      <c r="E142" s="109">
        <v>11</v>
      </c>
      <c r="F142" s="1569" t="s">
        <v>213</v>
      </c>
      <c r="G142" s="1570"/>
      <c r="H142" s="239" t="s">
        <v>214</v>
      </c>
      <c r="I142" s="240" t="s">
        <v>479</v>
      </c>
      <c r="J142" s="643">
        <f>SUM(J143:J144)</f>
        <v>2022480000</v>
      </c>
      <c r="K142" s="241">
        <f>SUM(K143:K144)</f>
        <v>2022480000</v>
      </c>
      <c r="L142" s="238"/>
      <c r="M142" s="526"/>
      <c r="N142" s="496"/>
    </row>
    <row r="143" spans="2:17" s="113" customFormat="1" ht="25.5" customHeight="1" x14ac:dyDescent="0.2">
      <c r="B143" s="262"/>
      <c r="C143" s="263"/>
      <c r="D143" s="156"/>
      <c r="E143" s="157"/>
      <c r="F143" s="264" t="s">
        <v>46</v>
      </c>
      <c r="G143" s="265" t="s">
        <v>213</v>
      </c>
      <c r="H143" s="132"/>
      <c r="I143" s="266"/>
      <c r="J143" s="635">
        <v>1272480000</v>
      </c>
      <c r="K143" s="177">
        <v>1272480000</v>
      </c>
      <c r="L143" s="178"/>
      <c r="M143" s="527"/>
      <c r="N143" s="178"/>
    </row>
    <row r="144" spans="2:17" s="113" customFormat="1" ht="14.25" customHeight="1" x14ac:dyDescent="0.2">
      <c r="B144" s="262"/>
      <c r="C144" s="263"/>
      <c r="D144" s="156"/>
      <c r="E144" s="157"/>
      <c r="F144" s="264" t="s">
        <v>46</v>
      </c>
      <c r="G144" s="265" t="s">
        <v>486</v>
      </c>
      <c r="H144" s="132"/>
      <c r="I144" s="266"/>
      <c r="J144" s="635">
        <v>750000000</v>
      </c>
      <c r="K144" s="177">
        <f>250000000+500000000</f>
        <v>750000000</v>
      </c>
      <c r="L144" s="178"/>
      <c r="M144" s="527"/>
      <c r="N144" s="178"/>
    </row>
    <row r="145" spans="2:17" s="29" customFormat="1" ht="20.25" customHeight="1" x14ac:dyDescent="0.25">
      <c r="B145" s="13"/>
      <c r="C145" s="39"/>
      <c r="D145" s="140"/>
      <c r="E145" s="109">
        <v>12</v>
      </c>
      <c r="F145" s="1569" t="s">
        <v>215</v>
      </c>
      <c r="G145" s="1570"/>
      <c r="H145" s="239" t="s">
        <v>216</v>
      </c>
      <c r="I145" s="240" t="s">
        <v>217</v>
      </c>
      <c r="J145" s="643">
        <f>500000000+300000000</f>
        <v>800000000</v>
      </c>
      <c r="K145" s="241">
        <f>500000000+300000000</f>
        <v>800000000</v>
      </c>
      <c r="L145" s="238"/>
      <c r="M145" s="526"/>
      <c r="N145" s="496"/>
    </row>
    <row r="146" spans="2:17" s="62" customFormat="1" ht="19.5" customHeight="1" x14ac:dyDescent="0.25">
      <c r="B146" s="59"/>
      <c r="C146" s="39"/>
      <c r="D146" s="140"/>
      <c r="E146" s="140">
        <v>13</v>
      </c>
      <c r="F146" s="1716" t="s">
        <v>218</v>
      </c>
      <c r="G146" s="1717"/>
      <c r="H146" s="763" t="s">
        <v>219</v>
      </c>
      <c r="I146" s="764" t="s">
        <v>393</v>
      </c>
      <c r="J146" s="643">
        <v>4000000000</v>
      </c>
      <c r="K146" s="241">
        <v>4000000000</v>
      </c>
      <c r="L146" s="238"/>
      <c r="M146" s="762"/>
      <c r="N146" s="496"/>
    </row>
    <row r="147" spans="2:17" s="62" customFormat="1" ht="24" customHeight="1" x14ac:dyDescent="0.25">
      <c r="B147" s="59"/>
      <c r="C147" s="39"/>
      <c r="D147" s="140"/>
      <c r="E147" s="759">
        <v>14</v>
      </c>
      <c r="F147" s="1714" t="s">
        <v>229</v>
      </c>
      <c r="G147" s="1715"/>
      <c r="H147" s="760" t="s">
        <v>230</v>
      </c>
      <c r="I147" s="761" t="s">
        <v>111</v>
      </c>
      <c r="J147" s="647">
        <f>2000000000-300000000</f>
        <v>1700000000</v>
      </c>
      <c r="K147" s="274">
        <v>0</v>
      </c>
      <c r="L147" s="238"/>
      <c r="M147" s="762"/>
      <c r="N147" s="496"/>
    </row>
    <row r="148" spans="2:17" s="62" customFormat="1" ht="16.5" customHeight="1" x14ac:dyDescent="0.25">
      <c r="B148" s="59"/>
      <c r="C148" s="39"/>
      <c r="D148" s="140"/>
      <c r="E148" s="759">
        <v>15</v>
      </c>
      <c r="F148" s="1716" t="s">
        <v>225</v>
      </c>
      <c r="G148" s="1717"/>
      <c r="H148" s="760" t="s">
        <v>226</v>
      </c>
      <c r="I148" s="761" t="s">
        <v>480</v>
      </c>
      <c r="J148" s="647">
        <f>11000000000</f>
        <v>11000000000</v>
      </c>
      <c r="K148" s="274">
        <f>11000000000</f>
        <v>11000000000</v>
      </c>
      <c r="L148" s="238"/>
      <c r="M148" s="762"/>
      <c r="N148" s="496"/>
    </row>
    <row r="149" spans="2:17" s="62" customFormat="1" ht="16.5" customHeight="1" x14ac:dyDescent="0.25">
      <c r="B149" s="59"/>
      <c r="C149" s="39"/>
      <c r="D149" s="140"/>
      <c r="E149" s="759">
        <v>16</v>
      </c>
      <c r="F149" s="1716" t="s">
        <v>227</v>
      </c>
      <c r="G149" s="1717"/>
      <c r="H149" s="760" t="s">
        <v>228</v>
      </c>
      <c r="I149" s="761" t="s">
        <v>480</v>
      </c>
      <c r="J149" s="647">
        <f>11000000000</f>
        <v>11000000000</v>
      </c>
      <c r="K149" s="274">
        <f>11000000000</f>
        <v>11000000000</v>
      </c>
      <c r="L149" s="238"/>
      <c r="M149" s="762"/>
      <c r="N149" s="496"/>
      <c r="P149" s="731">
        <v>1750000000</v>
      </c>
      <c r="Q149" s="62">
        <f>K149/P149</f>
        <v>6.2857142857142856</v>
      </c>
    </row>
    <row r="150" spans="2:17" s="62" customFormat="1" ht="39" customHeight="1" x14ac:dyDescent="0.25">
      <c r="B150" s="59"/>
      <c r="C150" s="39"/>
      <c r="D150" s="140"/>
      <c r="E150" s="759">
        <v>17</v>
      </c>
      <c r="F150" s="1716" t="s">
        <v>223</v>
      </c>
      <c r="G150" s="1717"/>
      <c r="H150" s="760" t="s">
        <v>415</v>
      </c>
      <c r="I150" s="939" t="s">
        <v>224</v>
      </c>
      <c r="J150" s="647">
        <v>4000000000</v>
      </c>
      <c r="K150" s="274">
        <v>4000000000</v>
      </c>
      <c r="L150" s="238"/>
      <c r="M150" s="940"/>
      <c r="N150" s="496"/>
    </row>
    <row r="151" spans="2:17" s="62" customFormat="1" ht="30" customHeight="1" x14ac:dyDescent="0.25">
      <c r="B151" s="59"/>
      <c r="C151" s="39"/>
      <c r="D151" s="140"/>
      <c r="E151" s="140">
        <v>18</v>
      </c>
      <c r="F151" s="1716" t="s">
        <v>220</v>
      </c>
      <c r="G151" s="1717"/>
      <c r="H151" s="763" t="s">
        <v>221</v>
      </c>
      <c r="I151" s="764" t="s">
        <v>222</v>
      </c>
      <c r="J151" s="643">
        <v>1500000000</v>
      </c>
      <c r="K151" s="241">
        <v>0</v>
      </c>
      <c r="L151" s="238"/>
      <c r="M151" s="762"/>
      <c r="N151" s="496"/>
    </row>
    <row r="152" spans="2:17" s="229" customFormat="1" ht="4.5" customHeight="1" x14ac:dyDescent="0.25">
      <c r="B152" s="59"/>
      <c r="C152" s="958"/>
      <c r="D152" s="959"/>
      <c r="E152" s="959"/>
      <c r="F152" s="1732"/>
      <c r="G152" s="1733"/>
      <c r="H152" s="960"/>
      <c r="I152" s="961"/>
      <c r="J152" s="962"/>
      <c r="K152" s="963"/>
      <c r="L152" s="101"/>
      <c r="M152" s="964"/>
      <c r="N152" s="491"/>
    </row>
    <row r="153" spans="2:17" s="15" customFormat="1" ht="32.25" customHeight="1" x14ac:dyDescent="0.25">
      <c r="B153" s="13"/>
      <c r="C153" s="1501" t="s">
        <v>453</v>
      </c>
      <c r="D153" s="1502"/>
      <c r="E153" s="1558" t="s">
        <v>231</v>
      </c>
      <c r="F153" s="1559"/>
      <c r="G153" s="1560"/>
      <c r="H153" s="231" t="s">
        <v>232</v>
      </c>
      <c r="I153" s="282"/>
      <c r="J153" s="649">
        <f>J155+J154+J156</f>
        <v>1850000000</v>
      </c>
      <c r="K153" s="283">
        <f>K155+K154+K156</f>
        <v>1850000000</v>
      </c>
      <c r="L153" s="104"/>
      <c r="M153" s="529"/>
      <c r="N153" s="14"/>
      <c r="O153" s="17"/>
    </row>
    <row r="154" spans="2:17" s="29" customFormat="1" ht="16.5" customHeight="1" x14ac:dyDescent="0.25">
      <c r="B154" s="13"/>
      <c r="C154" s="39"/>
      <c r="D154" s="140"/>
      <c r="E154" s="109" t="s">
        <v>5</v>
      </c>
      <c r="F154" s="1567" t="s">
        <v>233</v>
      </c>
      <c r="G154" s="1568"/>
      <c r="H154" s="284" t="s">
        <v>234</v>
      </c>
      <c r="I154" s="285">
        <v>1</v>
      </c>
      <c r="J154" s="650">
        <v>1200000000</v>
      </c>
      <c r="K154" s="286">
        <v>1200000000</v>
      </c>
      <c r="L154" s="7"/>
      <c r="M154" s="530"/>
      <c r="N154" s="484"/>
    </row>
    <row r="155" spans="2:17" s="82" customFormat="1" ht="17.25" customHeight="1" x14ac:dyDescent="0.25">
      <c r="B155" s="59"/>
      <c r="C155" s="39"/>
      <c r="D155" s="140"/>
      <c r="E155" s="109" t="s">
        <v>10</v>
      </c>
      <c r="F155" s="1565" t="s">
        <v>235</v>
      </c>
      <c r="G155" s="1566"/>
      <c r="H155" s="284" t="s">
        <v>234</v>
      </c>
      <c r="I155" s="285">
        <v>1</v>
      </c>
      <c r="J155" s="650">
        <v>350000000</v>
      </c>
      <c r="K155" s="286">
        <v>350000000</v>
      </c>
      <c r="L155" s="7"/>
      <c r="M155" s="530"/>
      <c r="N155" s="484"/>
      <c r="O155" s="136"/>
    </row>
    <row r="156" spans="2:17" s="29" customFormat="1" ht="27.75" customHeight="1" x14ac:dyDescent="0.25">
      <c r="B156" s="13"/>
      <c r="C156" s="39"/>
      <c r="D156" s="140"/>
      <c r="E156" s="109" t="s">
        <v>13</v>
      </c>
      <c r="F156" s="1550" t="s">
        <v>236</v>
      </c>
      <c r="G156" s="1551"/>
      <c r="H156" s="297" t="s">
        <v>237</v>
      </c>
      <c r="I156" s="477">
        <v>1</v>
      </c>
      <c r="J156" s="650">
        <v>300000000</v>
      </c>
      <c r="K156" s="286">
        <v>300000000</v>
      </c>
      <c r="L156" s="7"/>
      <c r="M156" s="530"/>
      <c r="N156" s="484"/>
    </row>
    <row r="157" spans="2:17" ht="3" customHeight="1" x14ac:dyDescent="0.25">
      <c r="C157" s="275"/>
      <c r="D157" s="276"/>
      <c r="E157" s="276"/>
      <c r="F157" s="1540"/>
      <c r="G157" s="1541"/>
      <c r="H157" s="279"/>
      <c r="I157" s="289"/>
      <c r="J157" s="651"/>
      <c r="K157" s="290"/>
      <c r="M157" s="531"/>
    </row>
    <row r="158" spans="2:17" s="29" customFormat="1" ht="33.75" customHeight="1" x14ac:dyDescent="0.25">
      <c r="B158" s="13"/>
      <c r="C158" s="1506" t="s">
        <v>454</v>
      </c>
      <c r="D158" s="1507"/>
      <c r="E158" s="1558" t="s">
        <v>238</v>
      </c>
      <c r="F158" s="1559"/>
      <c r="G158" s="1560"/>
      <c r="H158" s="231" t="s">
        <v>239</v>
      </c>
      <c r="I158" s="282"/>
      <c r="J158" s="652">
        <f>J159+J164+J160+J162</f>
        <v>7000000000</v>
      </c>
      <c r="K158" s="292">
        <f>K159+K164+K160+K162</f>
        <v>7000000000</v>
      </c>
      <c r="L158" s="32"/>
      <c r="M158" s="529"/>
      <c r="N158" s="486"/>
      <c r="Q158" s="145"/>
    </row>
    <row r="159" spans="2:17" s="29" customFormat="1" ht="27.75" customHeight="1" x14ac:dyDescent="0.25">
      <c r="B159" s="13"/>
      <c r="C159" s="39"/>
      <c r="D159" s="140"/>
      <c r="E159" s="77" t="s">
        <v>5</v>
      </c>
      <c r="F159" s="1567" t="s">
        <v>240</v>
      </c>
      <c r="G159" s="1568"/>
      <c r="H159" s="293" t="s">
        <v>241</v>
      </c>
      <c r="I159" s="294">
        <v>1</v>
      </c>
      <c r="J159" s="653">
        <v>500000000</v>
      </c>
      <c r="K159" s="295">
        <v>500000000</v>
      </c>
      <c r="L159" s="296"/>
      <c r="M159" s="532"/>
      <c r="N159" s="501"/>
      <c r="Q159" s="145"/>
    </row>
    <row r="160" spans="2:17" s="29" customFormat="1" ht="23.25" customHeight="1" x14ac:dyDescent="0.25">
      <c r="B160" s="13"/>
      <c r="C160" s="39"/>
      <c r="D160" s="140"/>
      <c r="E160" s="109" t="s">
        <v>10</v>
      </c>
      <c r="F160" s="1556" t="s">
        <v>242</v>
      </c>
      <c r="G160" s="1557"/>
      <c r="H160" s="297" t="s">
        <v>243</v>
      </c>
      <c r="I160" s="298" t="s">
        <v>244</v>
      </c>
      <c r="J160" s="654">
        <f>SUM(J161:J161)</f>
        <v>300000000</v>
      </c>
      <c r="K160" s="299">
        <f>SUM(K161:K161)</f>
        <v>300000000</v>
      </c>
      <c r="L160" s="296"/>
      <c r="M160" s="533"/>
      <c r="N160" s="501"/>
      <c r="Q160" s="145"/>
    </row>
    <row r="161" spans="2:17" s="306" customFormat="1" ht="27" customHeight="1" x14ac:dyDescent="0.25">
      <c r="B161" s="13"/>
      <c r="C161" s="300"/>
      <c r="D161" s="156"/>
      <c r="E161" s="156"/>
      <c r="F161" s="301" t="s">
        <v>46</v>
      </c>
      <c r="G161" s="302" t="s">
        <v>245</v>
      </c>
      <c r="H161" s="303"/>
      <c r="I161" s="1" t="s">
        <v>244</v>
      </c>
      <c r="J161" s="655">
        <v>300000000</v>
      </c>
      <c r="K161" s="304">
        <v>300000000</v>
      </c>
      <c r="L161" s="305"/>
      <c r="M161" s="534"/>
      <c r="N161" s="502"/>
      <c r="Q161" s="307"/>
    </row>
    <row r="162" spans="2:17" s="29" customFormat="1" ht="25.5" customHeight="1" x14ac:dyDescent="0.25">
      <c r="B162" s="13"/>
      <c r="C162" s="39"/>
      <c r="D162" s="140"/>
      <c r="E162" s="109" t="s">
        <v>13</v>
      </c>
      <c r="F162" s="1550" t="s">
        <v>246</v>
      </c>
      <c r="G162" s="1551"/>
      <c r="H162" s="297" t="s">
        <v>247</v>
      </c>
      <c r="I162" s="298" t="s">
        <v>465</v>
      </c>
      <c r="J162" s="654">
        <f>SUM(J163:J163)</f>
        <v>6000000000</v>
      </c>
      <c r="K162" s="299">
        <f>SUM(K163:K163)</f>
        <v>6000000000</v>
      </c>
      <c r="L162" s="296"/>
      <c r="M162" s="533"/>
      <c r="N162" s="501"/>
      <c r="Q162" s="145"/>
    </row>
    <row r="163" spans="2:17" s="306" customFormat="1" ht="24.75" customHeight="1" x14ac:dyDescent="0.25">
      <c r="B163" s="13"/>
      <c r="C163" s="300"/>
      <c r="D163" s="156"/>
      <c r="E163" s="156"/>
      <c r="F163" s="301" t="s">
        <v>46</v>
      </c>
      <c r="G163" s="302" t="s">
        <v>249</v>
      </c>
      <c r="H163" s="303"/>
      <c r="I163" s="1" t="s">
        <v>248</v>
      </c>
      <c r="J163" s="655">
        <v>6000000000</v>
      </c>
      <c r="K163" s="304">
        <v>6000000000</v>
      </c>
      <c r="L163" s="305"/>
      <c r="M163" s="534"/>
      <c r="N163" s="502"/>
      <c r="Q163" s="307"/>
    </row>
    <row r="164" spans="2:17" s="29" customFormat="1" ht="21.75" customHeight="1" x14ac:dyDescent="0.25">
      <c r="B164" s="13"/>
      <c r="C164" s="39"/>
      <c r="D164" s="140"/>
      <c r="E164" s="109" t="s">
        <v>16</v>
      </c>
      <c r="F164" s="1556" t="s">
        <v>250</v>
      </c>
      <c r="G164" s="1557"/>
      <c r="H164" s="297" t="s">
        <v>251</v>
      </c>
      <c r="I164" s="294">
        <v>1</v>
      </c>
      <c r="J164" s="654">
        <v>200000000</v>
      </c>
      <c r="K164" s="299">
        <v>200000000</v>
      </c>
      <c r="L164" s="296"/>
      <c r="M164" s="532"/>
      <c r="N164" s="501"/>
      <c r="Q164" s="145"/>
    </row>
    <row r="165" spans="2:17" ht="3" customHeight="1" x14ac:dyDescent="0.25">
      <c r="C165" s="275"/>
      <c r="D165" s="276"/>
      <c r="E165" s="276"/>
      <c r="F165" s="310"/>
      <c r="G165" s="287"/>
      <c r="H165" s="288"/>
      <c r="I165" s="311"/>
      <c r="J165" s="656"/>
      <c r="K165" s="312"/>
      <c r="L165" s="308"/>
      <c r="M165" s="535"/>
      <c r="N165" s="503"/>
      <c r="Q165" s="230"/>
    </row>
    <row r="166" spans="2:17" s="15" customFormat="1" ht="34.5" customHeight="1" x14ac:dyDescent="0.25">
      <c r="B166" s="13"/>
      <c r="C166" s="1508" t="s">
        <v>455</v>
      </c>
      <c r="D166" s="1509"/>
      <c r="E166" s="1558" t="s">
        <v>252</v>
      </c>
      <c r="F166" s="1559"/>
      <c r="G166" s="1560"/>
      <c r="H166" s="231" t="s">
        <v>253</v>
      </c>
      <c r="I166" s="282"/>
      <c r="J166" s="649">
        <f>J167+J171+J174+J177+J180+J184+J187+J190+J194+J197+J198+J201+J202+J203+J204+J205</f>
        <v>39876082971</v>
      </c>
      <c r="K166" s="283">
        <f>K167+K171+K174+K177+K180+K184+K187+K190+K194+K197+K198+K201+K202+K203+K204+K205</f>
        <v>39100000000</v>
      </c>
      <c r="L166" s="104"/>
      <c r="M166" s="529"/>
      <c r="N166" s="14"/>
      <c r="O166" s="16"/>
      <c r="P166" s="21">
        <v>42276082971</v>
      </c>
    </row>
    <row r="167" spans="2:17" s="62" customFormat="1" ht="20.25" customHeight="1" x14ac:dyDescent="0.25">
      <c r="B167" s="59"/>
      <c r="C167" s="313"/>
      <c r="D167" s="314"/>
      <c r="E167" s="315" t="s">
        <v>5</v>
      </c>
      <c r="F167" s="1561" t="s">
        <v>254</v>
      </c>
      <c r="G167" s="1562"/>
      <c r="H167" s="316" t="s">
        <v>255</v>
      </c>
      <c r="I167" s="317"/>
      <c r="J167" s="657">
        <f>SUM(J168:J170)</f>
        <v>10935000000</v>
      </c>
      <c r="K167" s="318">
        <f>SUM(K168:K170)</f>
        <v>10935000000</v>
      </c>
      <c r="L167" s="319"/>
      <c r="M167" s="541"/>
      <c r="N167" s="504"/>
      <c r="O167" s="63"/>
    </row>
    <row r="168" spans="2:17" s="113" customFormat="1" ht="17.25" customHeight="1" x14ac:dyDescent="0.25">
      <c r="B168" s="59"/>
      <c r="C168" s="320"/>
      <c r="D168" s="321"/>
      <c r="E168" s="322"/>
      <c r="F168" s="64" t="s">
        <v>46</v>
      </c>
      <c r="G168" s="679" t="s">
        <v>256</v>
      </c>
      <c r="H168" s="544" t="s">
        <v>257</v>
      </c>
      <c r="I168" s="324">
        <v>7.0000000000000007E-2</v>
      </c>
      <c r="J168" s="658">
        <f>10000000000+635000000</f>
        <v>10635000000</v>
      </c>
      <c r="K168" s="325">
        <f>10000000000+635000000</f>
        <v>10635000000</v>
      </c>
      <c r="L168" s="67"/>
      <c r="M168" s="542"/>
      <c r="N168" s="490"/>
      <c r="O168" s="151"/>
    </row>
    <row r="169" spans="2:17" s="113" customFormat="1" ht="24" customHeight="1" x14ac:dyDescent="0.2">
      <c r="B169" s="59"/>
      <c r="C169" s="320"/>
      <c r="D169" s="321"/>
      <c r="E169" s="322"/>
      <c r="F169" s="64" t="s">
        <v>46</v>
      </c>
      <c r="G169" s="679" t="s">
        <v>258</v>
      </c>
      <c r="H169" s="326" t="s">
        <v>259</v>
      </c>
      <c r="I169" s="327">
        <v>1</v>
      </c>
      <c r="J169" s="616">
        <v>300000000</v>
      </c>
      <c r="K169" s="66">
        <v>300000000</v>
      </c>
      <c r="L169" s="67"/>
      <c r="M169" s="514"/>
      <c r="N169" s="490"/>
      <c r="O169" s="151"/>
    </row>
    <row r="170" spans="2:17" s="113" customFormat="1" ht="15.75" hidden="1" customHeight="1" x14ac:dyDescent="0.2">
      <c r="B170" s="59"/>
      <c r="C170" s="320"/>
      <c r="D170" s="321"/>
      <c r="E170" s="322"/>
      <c r="F170" s="64" t="s">
        <v>46</v>
      </c>
      <c r="G170" s="323" t="s">
        <v>260</v>
      </c>
      <c r="H170" s="328" t="s">
        <v>470</v>
      </c>
      <c r="I170" s="327">
        <v>1</v>
      </c>
      <c r="J170" s="658"/>
      <c r="K170" s="325"/>
      <c r="L170" s="67"/>
      <c r="M170" s="514"/>
      <c r="N170" s="490"/>
      <c r="O170" s="151"/>
    </row>
    <row r="171" spans="2:17" s="62" customFormat="1" ht="28.5" customHeight="1" x14ac:dyDescent="0.25">
      <c r="B171" s="59"/>
      <c r="C171" s="78"/>
      <c r="D171" s="45"/>
      <c r="E171" s="329" t="s">
        <v>10</v>
      </c>
      <c r="F171" s="1563" t="s">
        <v>261</v>
      </c>
      <c r="G171" s="1564"/>
      <c r="H171" s="74" t="s">
        <v>262</v>
      </c>
      <c r="I171" s="330"/>
      <c r="J171" s="659">
        <f>SUM(J172:J173)</f>
        <v>5175000000</v>
      </c>
      <c r="K171" s="331">
        <f>SUM(K172:K173)</f>
        <v>5175000000</v>
      </c>
      <c r="L171" s="319"/>
      <c r="M171" s="543"/>
      <c r="N171" s="504"/>
      <c r="O171" s="63"/>
    </row>
    <row r="172" spans="2:17" s="113" customFormat="1" ht="15.75" customHeight="1" x14ac:dyDescent="0.2">
      <c r="B172" s="59"/>
      <c r="C172" s="320"/>
      <c r="D172" s="321"/>
      <c r="E172" s="322"/>
      <c r="F172" s="64" t="s">
        <v>46</v>
      </c>
      <c r="G172" s="679" t="s">
        <v>408</v>
      </c>
      <c r="H172" s="326" t="s">
        <v>263</v>
      </c>
      <c r="I172" s="327">
        <v>0.57999999999999996</v>
      </c>
      <c r="J172" s="616">
        <f>5000000000</f>
        <v>5000000000</v>
      </c>
      <c r="K172" s="66">
        <f>5000000000</f>
        <v>5000000000</v>
      </c>
      <c r="L172" s="67"/>
      <c r="M172" s="514"/>
      <c r="N172" s="490"/>
      <c r="O172" s="151"/>
    </row>
    <row r="173" spans="2:17" s="113" customFormat="1" ht="27.75" customHeight="1" x14ac:dyDescent="0.2">
      <c r="B173" s="59"/>
      <c r="C173" s="320"/>
      <c r="D173" s="321"/>
      <c r="E173" s="322"/>
      <c r="F173" s="838" t="s">
        <v>46</v>
      </c>
      <c r="G173" s="853" t="s">
        <v>407</v>
      </c>
      <c r="H173" s="941" t="s">
        <v>264</v>
      </c>
      <c r="I173" s="942">
        <v>1</v>
      </c>
      <c r="J173" s="616">
        <v>175000000</v>
      </c>
      <c r="K173" s="66">
        <v>175000000</v>
      </c>
      <c r="L173" s="67"/>
      <c r="M173" s="519"/>
      <c r="N173" s="490"/>
      <c r="O173" s="151"/>
    </row>
    <row r="174" spans="2:17" s="62" customFormat="1" ht="27" customHeight="1" x14ac:dyDescent="0.25">
      <c r="B174" s="59"/>
      <c r="C174" s="78"/>
      <c r="D174" s="45"/>
      <c r="E174" s="329" t="s">
        <v>13</v>
      </c>
      <c r="F174" s="1563" t="s">
        <v>265</v>
      </c>
      <c r="G174" s="1564"/>
      <c r="H174" s="74" t="s">
        <v>464</v>
      </c>
      <c r="I174" s="330"/>
      <c r="J174" s="659">
        <f>SUM(J175:J176)</f>
        <v>1000000000</v>
      </c>
      <c r="K174" s="331">
        <f>SUM(K175:K176)</f>
        <v>500000000</v>
      </c>
      <c r="L174" s="319"/>
      <c r="M174" s="543"/>
      <c r="N174" s="504"/>
      <c r="O174" s="63"/>
    </row>
    <row r="175" spans="2:17" s="62" customFormat="1" ht="25.5" customHeight="1" x14ac:dyDescent="0.25">
      <c r="B175" s="59"/>
      <c r="C175" s="78"/>
      <c r="D175" s="45"/>
      <c r="E175" s="333"/>
      <c r="F175" s="943" t="s">
        <v>46</v>
      </c>
      <c r="G175" s="853" t="s">
        <v>266</v>
      </c>
      <c r="H175" s="839" t="s">
        <v>267</v>
      </c>
      <c r="I175" s="137">
        <v>1</v>
      </c>
      <c r="J175" s="616">
        <v>500000000</v>
      </c>
      <c r="K175" s="66">
        <v>500000000</v>
      </c>
      <c r="L175" s="67"/>
      <c r="M175" s="519"/>
      <c r="N175" s="490"/>
      <c r="O175" s="63"/>
    </row>
    <row r="176" spans="2:17" s="229" customFormat="1" ht="21" customHeight="1" x14ac:dyDescent="0.25">
      <c r="B176" s="59"/>
      <c r="C176" s="334"/>
      <c r="D176" s="335"/>
      <c r="E176" s="336"/>
      <c r="F176" s="943" t="s">
        <v>46</v>
      </c>
      <c r="G176" s="853" t="s">
        <v>268</v>
      </c>
      <c r="H176" s="839" t="s">
        <v>269</v>
      </c>
      <c r="I176" s="137">
        <v>1</v>
      </c>
      <c r="J176" s="616">
        <v>500000000</v>
      </c>
      <c r="K176" s="66"/>
      <c r="L176" s="67"/>
      <c r="M176" s="519"/>
      <c r="N176" s="490"/>
      <c r="O176" s="309"/>
    </row>
    <row r="177" spans="2:15" s="62" customFormat="1" ht="26.25" customHeight="1" x14ac:dyDescent="0.25">
      <c r="B177" s="59"/>
      <c r="C177" s="944"/>
      <c r="D177" s="140"/>
      <c r="E177" s="140" t="s">
        <v>16</v>
      </c>
      <c r="F177" s="1618" t="s">
        <v>270</v>
      </c>
      <c r="G177" s="1620"/>
      <c r="H177" s="855" t="s">
        <v>271</v>
      </c>
      <c r="I177" s="134"/>
      <c r="J177" s="660">
        <f>J178+J179</f>
        <v>1045000000</v>
      </c>
      <c r="K177" s="60">
        <f>K178+K179</f>
        <v>1545000000</v>
      </c>
      <c r="L177" s="61"/>
      <c r="M177" s="518"/>
      <c r="N177" s="489"/>
      <c r="O177" s="63"/>
    </row>
    <row r="178" spans="2:15" s="62" customFormat="1" ht="27" customHeight="1" x14ac:dyDescent="0.25">
      <c r="B178" s="59"/>
      <c r="C178" s="944"/>
      <c r="D178" s="140"/>
      <c r="E178" s="140"/>
      <c r="F178" s="943" t="s">
        <v>46</v>
      </c>
      <c r="G178" s="853" t="s">
        <v>272</v>
      </c>
      <c r="H178" s="839" t="s">
        <v>273</v>
      </c>
      <c r="I178" s="945">
        <v>1</v>
      </c>
      <c r="J178" s="618">
        <v>1000000000</v>
      </c>
      <c r="K178" s="73">
        <f>1000000000+500000000</f>
        <v>1500000000</v>
      </c>
      <c r="L178" s="67"/>
      <c r="M178" s="946"/>
      <c r="N178" s="490"/>
      <c r="O178" s="63"/>
    </row>
    <row r="179" spans="2:15" s="62" customFormat="1" ht="27" customHeight="1" x14ac:dyDescent="0.25">
      <c r="B179" s="59"/>
      <c r="C179" s="944"/>
      <c r="D179" s="140"/>
      <c r="E179" s="140"/>
      <c r="F179" s="943" t="s">
        <v>46</v>
      </c>
      <c r="G179" s="853" t="s">
        <v>274</v>
      </c>
      <c r="H179" s="839" t="s">
        <v>274</v>
      </c>
      <c r="I179" s="137">
        <v>1</v>
      </c>
      <c r="J179" s="616">
        <v>45000000</v>
      </c>
      <c r="K179" s="66">
        <v>45000000</v>
      </c>
      <c r="L179" s="67"/>
      <c r="M179" s="519"/>
      <c r="N179" s="490"/>
      <c r="O179" s="63"/>
    </row>
    <row r="180" spans="2:15" s="62" customFormat="1" ht="31.5" customHeight="1" x14ac:dyDescent="0.25">
      <c r="B180" s="59"/>
      <c r="C180" s="78"/>
      <c r="D180" s="45"/>
      <c r="E180" s="329" t="s">
        <v>19</v>
      </c>
      <c r="F180" s="1618" t="s">
        <v>275</v>
      </c>
      <c r="G180" s="1620"/>
      <c r="H180" s="855" t="s">
        <v>276</v>
      </c>
      <c r="I180" s="134"/>
      <c r="J180" s="660">
        <f>SUM(J181:J183)</f>
        <v>8750000000</v>
      </c>
      <c r="K180" s="60">
        <f>SUM(K181:K183)</f>
        <v>8750000000</v>
      </c>
      <c r="L180" s="61"/>
      <c r="M180" s="518"/>
      <c r="N180" s="489"/>
      <c r="O180" s="63"/>
    </row>
    <row r="181" spans="2:15" s="62" customFormat="1" ht="15.75" customHeight="1" x14ac:dyDescent="0.25">
      <c r="B181" s="59"/>
      <c r="C181" s="78"/>
      <c r="D181" s="45"/>
      <c r="E181" s="333"/>
      <c r="F181" s="838" t="s">
        <v>46</v>
      </c>
      <c r="G181" s="853" t="s">
        <v>277</v>
      </c>
      <c r="H181" s="839" t="s">
        <v>278</v>
      </c>
      <c r="I181" s="134">
        <v>1</v>
      </c>
      <c r="J181" s="616">
        <v>8405000000</v>
      </c>
      <c r="K181" s="66">
        <v>8405000000</v>
      </c>
      <c r="L181" s="67"/>
      <c r="M181" s="518"/>
      <c r="N181" s="490"/>
      <c r="O181" s="63"/>
    </row>
    <row r="182" spans="2:15" s="62" customFormat="1" ht="27" customHeight="1" x14ac:dyDescent="0.2">
      <c r="B182" s="59"/>
      <c r="C182" s="78"/>
      <c r="D182" s="45"/>
      <c r="E182" s="333"/>
      <c r="F182" s="838" t="s">
        <v>46</v>
      </c>
      <c r="G182" s="853" t="s">
        <v>279</v>
      </c>
      <c r="H182" s="947" t="s">
        <v>280</v>
      </c>
      <c r="I182" s="134">
        <v>1</v>
      </c>
      <c r="J182" s="616">
        <v>245000000</v>
      </c>
      <c r="K182" s="66">
        <v>245000000</v>
      </c>
      <c r="L182" s="67"/>
      <c r="M182" s="518"/>
      <c r="N182" s="490"/>
      <c r="O182" s="63"/>
    </row>
    <row r="183" spans="2:15" s="62" customFormat="1" ht="15.75" customHeight="1" x14ac:dyDescent="0.25">
      <c r="B183" s="59"/>
      <c r="C183" s="78"/>
      <c r="D183" s="45"/>
      <c r="E183" s="333"/>
      <c r="F183" s="64" t="s">
        <v>46</v>
      </c>
      <c r="G183" s="679" t="s">
        <v>281</v>
      </c>
      <c r="H183" s="678" t="s">
        <v>282</v>
      </c>
      <c r="I183" s="68">
        <v>1</v>
      </c>
      <c r="J183" s="616">
        <v>100000000</v>
      </c>
      <c r="K183" s="66">
        <v>100000000</v>
      </c>
      <c r="L183" s="67"/>
      <c r="M183" s="514"/>
      <c r="N183" s="490"/>
      <c r="O183" s="63"/>
    </row>
    <row r="184" spans="2:15" s="29" customFormat="1" ht="26.25" customHeight="1" x14ac:dyDescent="0.25">
      <c r="B184" s="13"/>
      <c r="C184" s="87"/>
      <c r="D184" s="109"/>
      <c r="E184" s="109" t="s">
        <v>27</v>
      </c>
      <c r="F184" s="1548" t="s">
        <v>283</v>
      </c>
      <c r="G184" s="1549"/>
      <c r="H184" s="433" t="s">
        <v>284</v>
      </c>
      <c r="I184" s="435"/>
      <c r="J184" s="660">
        <f>J185+J186</f>
        <v>1045000000</v>
      </c>
      <c r="K184" s="60">
        <f>K185+K186</f>
        <v>1045000000</v>
      </c>
      <c r="L184" s="61"/>
      <c r="M184" s="536"/>
      <c r="N184" s="489"/>
      <c r="O184" s="63"/>
    </row>
    <row r="185" spans="2:15" s="29" customFormat="1" x14ac:dyDescent="0.25">
      <c r="B185" s="13"/>
      <c r="C185" s="87"/>
      <c r="D185" s="109"/>
      <c r="E185" s="109"/>
      <c r="F185" s="64" t="s">
        <v>46</v>
      </c>
      <c r="G185" s="679" t="s">
        <v>285</v>
      </c>
      <c r="H185" s="678" t="s">
        <v>286</v>
      </c>
      <c r="I185" s="436">
        <v>1</v>
      </c>
      <c r="J185" s="618">
        <v>1000000000</v>
      </c>
      <c r="K185" s="73">
        <v>1000000000</v>
      </c>
      <c r="L185" s="67"/>
      <c r="M185" s="537"/>
      <c r="N185" s="490"/>
      <c r="O185" s="63"/>
    </row>
    <row r="186" spans="2:15" s="29" customFormat="1" ht="29.25" customHeight="1" x14ac:dyDescent="0.25">
      <c r="B186" s="13"/>
      <c r="C186" s="87"/>
      <c r="D186" s="109"/>
      <c r="E186" s="109"/>
      <c r="F186" s="301" t="s">
        <v>46</v>
      </c>
      <c r="G186" s="679" t="s">
        <v>287</v>
      </c>
      <c r="H186" s="678" t="s">
        <v>288</v>
      </c>
      <c r="I186" s="68">
        <v>1</v>
      </c>
      <c r="J186" s="618">
        <v>45000000</v>
      </c>
      <c r="K186" s="73">
        <v>45000000</v>
      </c>
      <c r="L186" s="67"/>
      <c r="M186" s="514"/>
      <c r="N186" s="490"/>
      <c r="O186" s="63"/>
    </row>
    <row r="187" spans="2:15" s="29" customFormat="1" ht="23.25" customHeight="1" x14ac:dyDescent="0.25">
      <c r="B187" s="13"/>
      <c r="C187" s="87"/>
      <c r="D187" s="109"/>
      <c r="E187" s="109" t="s">
        <v>30</v>
      </c>
      <c r="F187" s="1548" t="s">
        <v>289</v>
      </c>
      <c r="G187" s="1549"/>
      <c r="H187" s="433" t="s">
        <v>290</v>
      </c>
      <c r="I187" s="435">
        <v>1</v>
      </c>
      <c r="J187" s="660">
        <f>J188+J189</f>
        <v>3500000000</v>
      </c>
      <c r="K187" s="60">
        <f>K188+K189</f>
        <v>3500000000</v>
      </c>
      <c r="L187" s="61"/>
      <c r="M187" s="536"/>
      <c r="N187" s="489"/>
      <c r="O187" s="63" t="s">
        <v>291</v>
      </c>
    </row>
    <row r="188" spans="2:15" s="29" customFormat="1" ht="22.5" customHeight="1" x14ac:dyDescent="0.25">
      <c r="B188" s="13"/>
      <c r="C188" s="54"/>
      <c r="D188" s="55"/>
      <c r="E188" s="55"/>
      <c r="F188" s="301" t="s">
        <v>46</v>
      </c>
      <c r="G188" s="679" t="s">
        <v>292</v>
      </c>
      <c r="H188" s="678" t="s">
        <v>293</v>
      </c>
      <c r="I188" s="437">
        <v>1</v>
      </c>
      <c r="J188" s="618">
        <f>3500000000-125000000</f>
        <v>3375000000</v>
      </c>
      <c r="K188" s="73">
        <f>3500000000-125000000</f>
        <v>3375000000</v>
      </c>
      <c r="L188" s="67"/>
      <c r="M188" s="538"/>
      <c r="N188" s="490"/>
      <c r="O188" s="63" t="s">
        <v>427</v>
      </c>
    </row>
    <row r="189" spans="2:15" s="29" customFormat="1" ht="24" customHeight="1" x14ac:dyDescent="0.25">
      <c r="B189" s="13"/>
      <c r="C189" s="87"/>
      <c r="D189" s="109"/>
      <c r="E189" s="109"/>
      <c r="F189" s="301" t="s">
        <v>46</v>
      </c>
      <c r="G189" s="679" t="s">
        <v>294</v>
      </c>
      <c r="H189" s="678" t="s">
        <v>295</v>
      </c>
      <c r="I189" s="68">
        <v>1</v>
      </c>
      <c r="J189" s="616">
        <v>125000000</v>
      </c>
      <c r="K189" s="66">
        <v>125000000</v>
      </c>
      <c r="L189" s="67"/>
      <c r="M189" s="514"/>
      <c r="N189" s="490"/>
      <c r="O189" s="63"/>
    </row>
    <row r="190" spans="2:15" s="29" customFormat="1" ht="23.25" customHeight="1" x14ac:dyDescent="0.25">
      <c r="B190" s="13"/>
      <c r="C190" s="54"/>
      <c r="D190" s="55"/>
      <c r="E190" s="55" t="s">
        <v>8</v>
      </c>
      <c r="F190" s="1548" t="s">
        <v>296</v>
      </c>
      <c r="G190" s="1549"/>
      <c r="H190" s="69" t="s">
        <v>297</v>
      </c>
      <c r="I190" s="70"/>
      <c r="J190" s="617">
        <f>SUM(J191:J193)</f>
        <v>1600000000</v>
      </c>
      <c r="K190" s="71">
        <f>SUM(K191:K193)</f>
        <v>1600000000</v>
      </c>
      <c r="L190" s="61"/>
      <c r="M190" s="562"/>
      <c r="N190" s="489"/>
      <c r="O190" s="63"/>
    </row>
    <row r="191" spans="2:15" s="29" customFormat="1" ht="27.75" customHeight="1" x14ac:dyDescent="0.25">
      <c r="B191" s="13"/>
      <c r="C191" s="54"/>
      <c r="D191" s="55"/>
      <c r="E191" s="55"/>
      <c r="F191" s="64" t="s">
        <v>46</v>
      </c>
      <c r="G191" s="679" t="s">
        <v>499</v>
      </c>
      <c r="H191" s="678" t="s">
        <v>500</v>
      </c>
      <c r="I191" s="72">
        <v>1</v>
      </c>
      <c r="J191" s="618">
        <v>1490000000</v>
      </c>
      <c r="K191" s="73">
        <v>1490000000</v>
      </c>
      <c r="L191" s="67"/>
      <c r="M191" s="563"/>
      <c r="N191" s="490"/>
      <c r="O191" s="63"/>
    </row>
    <row r="192" spans="2:15" s="29" customFormat="1" ht="24.75" customHeight="1" x14ac:dyDescent="0.25">
      <c r="B192" s="13"/>
      <c r="C192" s="54"/>
      <c r="D192" s="55"/>
      <c r="E192" s="55"/>
      <c r="F192" s="64" t="s">
        <v>46</v>
      </c>
      <c r="G192" s="679" t="s">
        <v>298</v>
      </c>
      <c r="H192" s="678" t="s">
        <v>299</v>
      </c>
      <c r="I192" s="72">
        <v>1</v>
      </c>
      <c r="J192" s="618">
        <v>50000000</v>
      </c>
      <c r="K192" s="73">
        <v>50000000</v>
      </c>
      <c r="L192" s="67"/>
      <c r="M192" s="563"/>
      <c r="N192" s="490"/>
      <c r="O192" s="63"/>
    </row>
    <row r="193" spans="2:17" s="29" customFormat="1" ht="16.5" customHeight="1" x14ac:dyDescent="0.25">
      <c r="B193" s="13"/>
      <c r="C193" s="54"/>
      <c r="D193" s="55"/>
      <c r="E193" s="55"/>
      <c r="F193" s="64" t="s">
        <v>46</v>
      </c>
      <c r="G193" s="679" t="s">
        <v>300</v>
      </c>
      <c r="H193" s="678" t="s">
        <v>301</v>
      </c>
      <c r="I193" s="72">
        <v>1</v>
      </c>
      <c r="J193" s="618">
        <v>60000000</v>
      </c>
      <c r="K193" s="73">
        <v>60000000</v>
      </c>
      <c r="L193" s="67"/>
      <c r="M193" s="563"/>
      <c r="N193" s="490"/>
      <c r="O193" s="63"/>
    </row>
    <row r="194" spans="2:17" s="349" customFormat="1" ht="23.25" customHeight="1" x14ac:dyDescent="0.25">
      <c r="B194" s="339"/>
      <c r="C194" s="347"/>
      <c r="D194" s="55"/>
      <c r="E194" s="55" t="s">
        <v>22</v>
      </c>
      <c r="F194" s="1550" t="s">
        <v>302</v>
      </c>
      <c r="G194" s="1551"/>
      <c r="H194" s="675" t="s">
        <v>303</v>
      </c>
      <c r="I194" s="439"/>
      <c r="J194" s="617">
        <f>SUM(J195:J196)</f>
        <v>3100000000</v>
      </c>
      <c r="K194" s="71">
        <f>SUM(K195:K196)</f>
        <v>3100000000</v>
      </c>
      <c r="L194" s="61"/>
      <c r="M194" s="564"/>
      <c r="N194" s="489"/>
      <c r="O194" s="350"/>
    </row>
    <row r="195" spans="2:17" s="343" customFormat="1" ht="15" customHeight="1" x14ac:dyDescent="0.25">
      <c r="B195" s="339"/>
      <c r="C195" s="340"/>
      <c r="D195" s="341"/>
      <c r="E195" s="341"/>
      <c r="F195" s="351" t="s">
        <v>46</v>
      </c>
      <c r="G195" s="131" t="s">
        <v>304</v>
      </c>
      <c r="H195" s="342" t="s">
        <v>305</v>
      </c>
      <c r="I195" s="438">
        <v>1</v>
      </c>
      <c r="J195" s="618">
        <v>3000000000</v>
      </c>
      <c r="K195" s="73">
        <v>3000000000</v>
      </c>
      <c r="L195" s="67"/>
      <c r="M195" s="565"/>
      <c r="N195" s="490"/>
      <c r="O195" s="344"/>
    </row>
    <row r="196" spans="2:17" s="770" customFormat="1" ht="12.75" customHeight="1" x14ac:dyDescent="0.25">
      <c r="B196" s="765"/>
      <c r="C196" s="948"/>
      <c r="D196" s="463"/>
      <c r="E196" s="463"/>
      <c r="F196" s="949" t="s">
        <v>46</v>
      </c>
      <c r="G196" s="180" t="s">
        <v>306</v>
      </c>
      <c r="H196" s="950" t="s">
        <v>307</v>
      </c>
      <c r="I196" s="768">
        <v>1</v>
      </c>
      <c r="J196" s="618">
        <v>100000000</v>
      </c>
      <c r="K196" s="73">
        <v>100000000</v>
      </c>
      <c r="L196" s="67"/>
      <c r="M196" s="769"/>
      <c r="N196" s="490"/>
      <c r="O196" s="344"/>
    </row>
    <row r="197" spans="2:17" s="770" customFormat="1" ht="23.25" customHeight="1" x14ac:dyDescent="0.25">
      <c r="B197" s="765"/>
      <c r="C197" s="766"/>
      <c r="D197" s="759"/>
      <c r="E197" s="759" t="s">
        <v>210</v>
      </c>
      <c r="F197" s="1563" t="s">
        <v>308</v>
      </c>
      <c r="G197" s="1564"/>
      <c r="H197" s="767" t="s">
        <v>309</v>
      </c>
      <c r="I197" s="768">
        <v>1</v>
      </c>
      <c r="J197" s="617">
        <f>2500000000-323917029-50000000</f>
        <v>2126082971</v>
      </c>
      <c r="K197" s="71">
        <v>600000000</v>
      </c>
      <c r="L197" s="61"/>
      <c r="M197" s="769"/>
      <c r="N197" s="489"/>
      <c r="O197" s="344"/>
    </row>
    <row r="198" spans="2:17" s="953" customFormat="1" ht="23.25" customHeight="1" x14ac:dyDescent="0.25">
      <c r="B198" s="765"/>
      <c r="C198" s="766"/>
      <c r="D198" s="759"/>
      <c r="E198" s="759">
        <v>11</v>
      </c>
      <c r="F198" s="1563" t="s">
        <v>310</v>
      </c>
      <c r="G198" s="1564"/>
      <c r="H198" s="950" t="s">
        <v>416</v>
      </c>
      <c r="I198" s="951"/>
      <c r="J198" s="617">
        <f>J199+J200</f>
        <v>800000000</v>
      </c>
      <c r="K198" s="71">
        <f>K199+K200</f>
        <v>800000000</v>
      </c>
      <c r="L198" s="61"/>
      <c r="M198" s="952"/>
      <c r="N198" s="489"/>
      <c r="O198" s="346"/>
    </row>
    <row r="199" spans="2:17" s="770" customFormat="1" ht="27" customHeight="1" x14ac:dyDescent="0.25">
      <c r="B199" s="765"/>
      <c r="C199" s="948"/>
      <c r="D199" s="463"/>
      <c r="E199" s="463"/>
      <c r="F199" s="954" t="s">
        <v>46</v>
      </c>
      <c r="G199" s="180" t="s">
        <v>311</v>
      </c>
      <c r="H199" s="950" t="s">
        <v>312</v>
      </c>
      <c r="I199" s="768"/>
      <c r="J199" s="618">
        <v>500000000</v>
      </c>
      <c r="K199" s="73">
        <v>500000000</v>
      </c>
      <c r="L199" s="67"/>
      <c r="M199" s="769"/>
      <c r="N199" s="490"/>
      <c r="O199" s="344"/>
    </row>
    <row r="200" spans="2:17" s="770" customFormat="1" ht="25.5" customHeight="1" x14ac:dyDescent="0.25">
      <c r="B200" s="765"/>
      <c r="C200" s="948"/>
      <c r="D200" s="463"/>
      <c r="E200" s="463"/>
      <c r="F200" s="954" t="s">
        <v>46</v>
      </c>
      <c r="G200" s="180" t="s">
        <v>313</v>
      </c>
      <c r="H200" s="950" t="s">
        <v>314</v>
      </c>
      <c r="I200" s="768"/>
      <c r="J200" s="618">
        <v>300000000</v>
      </c>
      <c r="K200" s="73">
        <v>300000000</v>
      </c>
      <c r="L200" s="67"/>
      <c r="M200" s="769"/>
      <c r="N200" s="490"/>
      <c r="O200" s="344"/>
    </row>
    <row r="201" spans="2:17" s="62" customFormat="1" ht="27" customHeight="1" x14ac:dyDescent="0.25">
      <c r="B201" s="59"/>
      <c r="C201" s="944"/>
      <c r="D201" s="140"/>
      <c r="E201" s="140">
        <v>12</v>
      </c>
      <c r="F201" s="1582" t="s">
        <v>315</v>
      </c>
      <c r="G201" s="1583"/>
      <c r="H201" s="955" t="s">
        <v>316</v>
      </c>
      <c r="I201" s="353">
        <v>1</v>
      </c>
      <c r="J201" s="660">
        <v>200000000</v>
      </c>
      <c r="K201" s="60">
        <v>200000000</v>
      </c>
      <c r="L201" s="61"/>
      <c r="M201" s="567"/>
      <c r="N201" s="489"/>
      <c r="O201" s="148"/>
    </row>
    <row r="202" spans="2:17" s="62" customFormat="1" ht="26.25" customHeight="1" x14ac:dyDescent="0.25">
      <c r="B202" s="59"/>
      <c r="C202" s="771"/>
      <c r="D202" s="140"/>
      <c r="E202" s="140">
        <v>13</v>
      </c>
      <c r="F202" s="1712" t="s">
        <v>317</v>
      </c>
      <c r="G202" s="1713"/>
      <c r="H202" s="772" t="s">
        <v>318</v>
      </c>
      <c r="I202" s="773" t="s">
        <v>319</v>
      </c>
      <c r="J202" s="774">
        <v>100000000</v>
      </c>
      <c r="K202" s="775">
        <v>300000000</v>
      </c>
      <c r="L202" s="7"/>
      <c r="M202" s="776"/>
      <c r="N202" s="484"/>
      <c r="O202" s="148"/>
    </row>
    <row r="203" spans="2:17" s="62" customFormat="1" ht="20.25" customHeight="1" x14ac:dyDescent="0.25">
      <c r="B203" s="59"/>
      <c r="C203" s="771"/>
      <c r="D203" s="140"/>
      <c r="E203" s="140">
        <v>14</v>
      </c>
      <c r="F203" s="1582" t="s">
        <v>320</v>
      </c>
      <c r="G203" s="1583"/>
      <c r="H203" s="772" t="s">
        <v>321</v>
      </c>
      <c r="I203" s="773" t="s">
        <v>319</v>
      </c>
      <c r="J203" s="774">
        <v>200000000</v>
      </c>
      <c r="K203" s="775">
        <v>600000000</v>
      </c>
      <c r="L203" s="7"/>
      <c r="M203" s="776"/>
      <c r="N203" s="484"/>
      <c r="O203" s="148"/>
    </row>
    <row r="204" spans="2:17" s="62" customFormat="1" ht="38.25" customHeight="1" x14ac:dyDescent="0.25">
      <c r="B204" s="59"/>
      <c r="C204" s="771"/>
      <c r="D204" s="140"/>
      <c r="E204" s="140">
        <v>15</v>
      </c>
      <c r="F204" s="1712" t="s">
        <v>322</v>
      </c>
      <c r="G204" s="1713"/>
      <c r="H204" s="772" t="s">
        <v>323</v>
      </c>
      <c r="I204" s="777" t="s">
        <v>86</v>
      </c>
      <c r="J204" s="774">
        <v>100000000</v>
      </c>
      <c r="K204" s="775">
        <v>250000000</v>
      </c>
      <c r="L204" s="7"/>
      <c r="M204" s="569"/>
      <c r="N204" s="484"/>
      <c r="O204" s="148"/>
    </row>
    <row r="205" spans="2:17" s="62" customFormat="1" ht="26.25" customHeight="1" x14ac:dyDescent="0.25">
      <c r="B205" s="59"/>
      <c r="C205" s="944"/>
      <c r="D205" s="140"/>
      <c r="E205" s="140">
        <v>16</v>
      </c>
      <c r="F205" s="1582" t="s">
        <v>324</v>
      </c>
      <c r="G205" s="1583"/>
      <c r="H205" s="469" t="s">
        <v>325</v>
      </c>
      <c r="I205" s="353">
        <v>1</v>
      </c>
      <c r="J205" s="660">
        <v>200000000</v>
      </c>
      <c r="K205" s="60">
        <v>200000000</v>
      </c>
      <c r="L205" s="61"/>
      <c r="M205" s="567"/>
      <c r="N205" s="489"/>
      <c r="O205" s="148"/>
    </row>
    <row r="206" spans="2:17" ht="3" customHeight="1" x14ac:dyDescent="0.25">
      <c r="C206" s="95"/>
      <c r="D206" s="96"/>
      <c r="E206" s="96"/>
      <c r="F206" s="1540"/>
      <c r="G206" s="1541"/>
      <c r="H206" s="355"/>
      <c r="I206" s="356"/>
      <c r="J206" s="661"/>
      <c r="K206" s="357"/>
      <c r="L206" s="358"/>
      <c r="M206" s="570"/>
      <c r="N206" s="505"/>
    </row>
    <row r="207" spans="2:17" s="15" customFormat="1" ht="25.5" customHeight="1" x14ac:dyDescent="0.25">
      <c r="B207" s="13"/>
      <c r="C207" s="1506" t="s">
        <v>456</v>
      </c>
      <c r="D207" s="1507"/>
      <c r="E207" s="1535" t="s">
        <v>326</v>
      </c>
      <c r="F207" s="1536"/>
      <c r="G207" s="1537"/>
      <c r="H207" s="359" t="s">
        <v>327</v>
      </c>
      <c r="I207" s="360"/>
      <c r="J207" s="641">
        <f>SUM(J208:J209)</f>
        <v>750000000</v>
      </c>
      <c r="K207" s="233">
        <f>SUM(K208:K209)</f>
        <v>750000000</v>
      </c>
      <c r="L207" s="26"/>
      <c r="M207" s="571"/>
      <c r="N207" s="495"/>
    </row>
    <row r="208" spans="2:17" s="29" customFormat="1" ht="18" customHeight="1" x14ac:dyDescent="0.25">
      <c r="B208" s="13"/>
      <c r="C208" s="39"/>
      <c r="D208" s="140"/>
      <c r="E208" s="109" t="s">
        <v>5</v>
      </c>
      <c r="F208" s="1533" t="s">
        <v>329</v>
      </c>
      <c r="G208" s="1534"/>
      <c r="H208" s="141" t="s">
        <v>330</v>
      </c>
      <c r="I208" s="142" t="s">
        <v>328</v>
      </c>
      <c r="J208" s="629">
        <v>400000000</v>
      </c>
      <c r="K208" s="143">
        <v>400000000</v>
      </c>
      <c r="L208" s="144"/>
      <c r="M208" s="561"/>
      <c r="N208" s="492"/>
      <c r="Q208" s="145"/>
    </row>
    <row r="209" spans="2:17" s="29" customFormat="1" ht="18" customHeight="1" x14ac:dyDescent="0.25">
      <c r="B209" s="13"/>
      <c r="C209" s="39"/>
      <c r="D209" s="140"/>
      <c r="E209" s="109" t="s">
        <v>10</v>
      </c>
      <c r="F209" s="1533" t="s">
        <v>331</v>
      </c>
      <c r="G209" s="1534"/>
      <c r="H209" s="141" t="s">
        <v>332</v>
      </c>
      <c r="I209" s="142" t="s">
        <v>319</v>
      </c>
      <c r="J209" s="629">
        <v>350000000</v>
      </c>
      <c r="K209" s="143">
        <v>350000000</v>
      </c>
      <c r="L209" s="144"/>
      <c r="M209" s="561"/>
      <c r="N209" s="492"/>
      <c r="Q209" s="145"/>
    </row>
    <row r="210" spans="2:17" ht="5.25" customHeight="1" x14ac:dyDescent="0.25">
      <c r="C210" s="363"/>
      <c r="D210" s="364"/>
      <c r="E210" s="276"/>
      <c r="F210" s="365"/>
      <c r="G210" s="366"/>
      <c r="H210" s="367"/>
      <c r="I210" s="368"/>
      <c r="J210" s="651"/>
      <c r="K210" s="290"/>
      <c r="M210" s="572"/>
      <c r="Q210" s="230"/>
    </row>
    <row r="211" spans="2:17" s="15" customFormat="1" ht="27.75" customHeight="1" x14ac:dyDescent="0.25">
      <c r="B211" s="13"/>
      <c r="C211" s="1506" t="s">
        <v>457</v>
      </c>
      <c r="D211" s="1507"/>
      <c r="E211" s="1535" t="s">
        <v>333</v>
      </c>
      <c r="F211" s="1536"/>
      <c r="G211" s="1537"/>
      <c r="H211" s="359" t="s">
        <v>334</v>
      </c>
      <c r="I211" s="360"/>
      <c r="J211" s="641">
        <f>J212+J213</f>
        <v>2200000000</v>
      </c>
      <c r="K211" s="233">
        <f>K212+K213</f>
        <v>2976082971</v>
      </c>
      <c r="L211" s="26"/>
      <c r="M211" s="571"/>
      <c r="N211" s="495"/>
    </row>
    <row r="212" spans="2:17" s="62" customFormat="1" ht="15.75" customHeight="1" x14ac:dyDescent="0.25">
      <c r="B212" s="59"/>
      <c r="C212" s="39"/>
      <c r="D212" s="140"/>
      <c r="E212" s="140" t="s">
        <v>5</v>
      </c>
      <c r="F212" s="1710" t="s">
        <v>335</v>
      </c>
      <c r="G212" s="1711"/>
      <c r="H212" s="856" t="s">
        <v>336</v>
      </c>
      <c r="I212" s="442" t="s">
        <v>109</v>
      </c>
      <c r="J212" s="629">
        <f>2000000000</f>
        <v>2000000000</v>
      </c>
      <c r="K212" s="143">
        <f>2000000000+776082971</f>
        <v>2776082971</v>
      </c>
      <c r="L212" s="144"/>
      <c r="M212" s="957"/>
      <c r="N212" s="492"/>
    </row>
    <row r="213" spans="2:17" s="362" customFormat="1" ht="15.75" customHeight="1" x14ac:dyDescent="0.25">
      <c r="B213" s="13"/>
      <c r="C213" s="39"/>
      <c r="D213" s="140"/>
      <c r="E213" s="109" t="s">
        <v>10</v>
      </c>
      <c r="F213" s="1533" t="s">
        <v>339</v>
      </c>
      <c r="G213" s="1534"/>
      <c r="H213" s="141" t="s">
        <v>340</v>
      </c>
      <c r="I213" s="370" t="s">
        <v>244</v>
      </c>
      <c r="J213" s="662">
        <v>200000000</v>
      </c>
      <c r="K213" s="371">
        <v>200000000</v>
      </c>
      <c r="L213" s="144"/>
      <c r="M213" s="573"/>
      <c r="N213" s="492"/>
      <c r="O213" s="361"/>
      <c r="Q213" s="361"/>
    </row>
    <row r="214" spans="2:17" ht="3.75" customHeight="1" x14ac:dyDescent="0.25">
      <c r="C214" s="363"/>
      <c r="D214" s="364"/>
      <c r="E214" s="276"/>
      <c r="F214" s="365"/>
      <c r="G214" s="366"/>
      <c r="H214" s="367"/>
      <c r="I214" s="368"/>
      <c r="J214" s="651"/>
      <c r="K214" s="290"/>
      <c r="M214" s="572"/>
      <c r="Q214" s="230"/>
    </row>
    <row r="215" spans="2:17" s="15" customFormat="1" ht="28.5" customHeight="1" x14ac:dyDescent="0.25">
      <c r="B215" s="13"/>
      <c r="C215" s="1506" t="s">
        <v>458</v>
      </c>
      <c r="D215" s="1507"/>
      <c r="E215" s="1535" t="s">
        <v>341</v>
      </c>
      <c r="F215" s="1536"/>
      <c r="G215" s="1537"/>
      <c r="H215" s="359" t="s">
        <v>342</v>
      </c>
      <c r="I215" s="360"/>
      <c r="J215" s="641">
        <f>SUM(J216:J220)</f>
        <v>1550000000</v>
      </c>
      <c r="K215" s="233">
        <f>SUM(K216:K220)</f>
        <v>1550000000</v>
      </c>
      <c r="L215" s="26"/>
      <c r="M215" s="571"/>
      <c r="N215" s="495"/>
    </row>
    <row r="216" spans="2:17" s="29" customFormat="1" ht="21" customHeight="1" x14ac:dyDescent="0.25">
      <c r="B216" s="13"/>
      <c r="C216" s="39"/>
      <c r="D216" s="140"/>
      <c r="E216" s="109" t="s">
        <v>5</v>
      </c>
      <c r="F216" s="1533" t="s">
        <v>343</v>
      </c>
      <c r="G216" s="1534"/>
      <c r="H216" s="172" t="s">
        <v>344</v>
      </c>
      <c r="I216" s="370" t="s">
        <v>345</v>
      </c>
      <c r="J216" s="662">
        <v>600000000</v>
      </c>
      <c r="K216" s="371">
        <v>600000000</v>
      </c>
      <c r="L216" s="144"/>
      <c r="M216" s="573"/>
      <c r="N216" s="492"/>
      <c r="Q216" s="145"/>
    </row>
    <row r="217" spans="2:17" s="29" customFormat="1" ht="15.75" customHeight="1" x14ac:dyDescent="0.25">
      <c r="B217" s="13"/>
      <c r="C217" s="39"/>
      <c r="D217" s="140"/>
      <c r="E217" s="109" t="s">
        <v>10</v>
      </c>
      <c r="F217" s="1533" t="s">
        <v>346</v>
      </c>
      <c r="G217" s="1534"/>
      <c r="H217" s="369" t="s">
        <v>347</v>
      </c>
      <c r="I217" s="370" t="s">
        <v>348</v>
      </c>
      <c r="J217" s="662">
        <v>400000000</v>
      </c>
      <c r="K217" s="371">
        <v>400000000</v>
      </c>
      <c r="L217" s="144"/>
      <c r="M217" s="573"/>
      <c r="N217" s="492"/>
      <c r="Q217" s="145"/>
    </row>
    <row r="218" spans="2:17" s="29" customFormat="1" ht="25.5" customHeight="1" x14ac:dyDescent="0.25">
      <c r="B218" s="13"/>
      <c r="C218" s="39"/>
      <c r="D218" s="140"/>
      <c r="E218" s="109" t="s">
        <v>13</v>
      </c>
      <c r="F218" s="1531" t="s">
        <v>349</v>
      </c>
      <c r="G218" s="1532"/>
      <c r="H218" s="141" t="s">
        <v>350</v>
      </c>
      <c r="I218" s="142" t="s">
        <v>351</v>
      </c>
      <c r="J218" s="663">
        <v>200000000</v>
      </c>
      <c r="K218" s="372">
        <v>200000000</v>
      </c>
      <c r="L218" s="373"/>
      <c r="M218" s="561"/>
      <c r="N218" s="492"/>
    </row>
    <row r="219" spans="2:17" s="29" customFormat="1" ht="26.25" customHeight="1" x14ac:dyDescent="0.25">
      <c r="B219" s="13"/>
      <c r="C219" s="39"/>
      <c r="D219" s="140"/>
      <c r="E219" s="109" t="s">
        <v>16</v>
      </c>
      <c r="F219" s="1533" t="s">
        <v>352</v>
      </c>
      <c r="G219" s="1534"/>
      <c r="H219" s="141" t="s">
        <v>350</v>
      </c>
      <c r="I219" s="142" t="s">
        <v>351</v>
      </c>
      <c r="J219" s="629">
        <v>200000000</v>
      </c>
      <c r="K219" s="143">
        <v>200000000</v>
      </c>
      <c r="L219" s="144"/>
      <c r="M219" s="561"/>
      <c r="N219" s="492"/>
      <c r="Q219" s="145"/>
    </row>
    <row r="220" spans="2:17" s="29" customFormat="1" ht="15.75" customHeight="1" x14ac:dyDescent="0.25">
      <c r="B220" s="13"/>
      <c r="C220" s="39"/>
      <c r="D220" s="140"/>
      <c r="E220" s="109" t="s">
        <v>19</v>
      </c>
      <c r="F220" s="1533" t="s">
        <v>353</v>
      </c>
      <c r="G220" s="1534"/>
      <c r="H220" s="141" t="s">
        <v>354</v>
      </c>
      <c r="I220" s="142" t="s">
        <v>92</v>
      </c>
      <c r="J220" s="629">
        <v>150000000</v>
      </c>
      <c r="K220" s="143">
        <v>150000000</v>
      </c>
      <c r="L220" s="144"/>
      <c r="M220" s="561"/>
      <c r="N220" s="492"/>
      <c r="Q220" s="145"/>
    </row>
    <row r="221" spans="2:17" s="229" customFormat="1" ht="4.5" customHeight="1" x14ac:dyDescent="0.25">
      <c r="B221" s="59"/>
      <c r="C221" s="374"/>
      <c r="D221" s="375"/>
      <c r="E221" s="375"/>
      <c r="F221" s="1527"/>
      <c r="G221" s="1528"/>
      <c r="H221" s="376"/>
      <c r="I221" s="377"/>
      <c r="J221" s="664"/>
      <c r="K221" s="378"/>
      <c r="L221" s="101"/>
      <c r="M221" s="574"/>
      <c r="N221" s="491"/>
      <c r="Q221" s="309"/>
    </row>
    <row r="222" spans="2:17" s="15" customFormat="1" ht="37.5" customHeight="1" x14ac:dyDescent="0.25">
      <c r="B222" s="13"/>
      <c r="C222" s="1501" t="s">
        <v>459</v>
      </c>
      <c r="D222" s="1502"/>
      <c r="E222" s="1512" t="s">
        <v>355</v>
      </c>
      <c r="F222" s="1513"/>
      <c r="G222" s="1514"/>
      <c r="H222" s="231" t="s">
        <v>356</v>
      </c>
      <c r="I222" s="379"/>
      <c r="J222" s="649">
        <f>J223+J226+J228+J231+J232+J233+J235+J236</f>
        <v>5200000000</v>
      </c>
      <c r="K222" s="283">
        <f>K223+K226+K228+K231+K232+K233+K235+K236</f>
        <v>5200000000</v>
      </c>
      <c r="L222" s="104"/>
      <c r="M222" s="575"/>
      <c r="N222" s="14"/>
      <c r="O222" s="145"/>
      <c r="Q222" s="145"/>
    </row>
    <row r="223" spans="2:17" s="82" customFormat="1" ht="24.75" customHeight="1" x14ac:dyDescent="0.25">
      <c r="B223" s="59"/>
      <c r="C223" s="49"/>
      <c r="D223" s="79"/>
      <c r="E223" s="140" t="s">
        <v>5</v>
      </c>
      <c r="F223" s="1529" t="s">
        <v>357</v>
      </c>
      <c r="G223" s="1530"/>
      <c r="H223" s="380" t="s">
        <v>358</v>
      </c>
      <c r="I223" s="381" t="s">
        <v>244</v>
      </c>
      <c r="J223" s="659">
        <f>J224+J225</f>
        <v>950000000</v>
      </c>
      <c r="K223" s="331">
        <f>K224+K225</f>
        <v>950000000</v>
      </c>
      <c r="L223" s="319"/>
      <c r="M223" s="576"/>
      <c r="N223" s="504"/>
      <c r="O223" s="63"/>
      <c r="Q223" s="63"/>
    </row>
    <row r="224" spans="2:17" s="82" customFormat="1" ht="16.5" customHeight="1" x14ac:dyDescent="0.25">
      <c r="B224" s="59"/>
      <c r="C224" s="49"/>
      <c r="D224" s="79"/>
      <c r="E224" s="40"/>
      <c r="F224" s="382" t="s">
        <v>46</v>
      </c>
      <c r="G224" s="383" t="s">
        <v>357</v>
      </c>
      <c r="H224" s="384"/>
      <c r="I224" s="385"/>
      <c r="J224" s="665">
        <v>550000000</v>
      </c>
      <c r="K224" s="386">
        <v>550000000</v>
      </c>
      <c r="L224" s="387"/>
      <c r="M224" s="577"/>
      <c r="N224" s="506"/>
      <c r="O224" s="63"/>
      <c r="Q224" s="63"/>
    </row>
    <row r="225" spans="2:17" s="306" customFormat="1" x14ac:dyDescent="0.25">
      <c r="B225" s="13"/>
      <c r="C225" s="263"/>
      <c r="D225" s="388"/>
      <c r="E225" s="156"/>
      <c r="F225" s="389" t="s">
        <v>46</v>
      </c>
      <c r="G225" s="390" t="s">
        <v>359</v>
      </c>
      <c r="H225" s="391"/>
      <c r="I225" s="392"/>
      <c r="J225" s="666">
        <v>400000000</v>
      </c>
      <c r="K225" s="393">
        <v>400000000</v>
      </c>
      <c r="L225" s="387"/>
      <c r="M225" s="578"/>
      <c r="N225" s="506"/>
      <c r="Q225" s="307"/>
    </row>
    <row r="226" spans="2:17" s="29" customFormat="1" ht="21.75" customHeight="1" x14ac:dyDescent="0.25">
      <c r="B226" s="13"/>
      <c r="C226" s="49"/>
      <c r="D226" s="79"/>
      <c r="E226" s="109" t="s">
        <v>10</v>
      </c>
      <c r="F226" s="1517" t="s">
        <v>360</v>
      </c>
      <c r="G226" s="1518"/>
      <c r="H226" s="394" t="s">
        <v>361</v>
      </c>
      <c r="I226" s="381" t="s">
        <v>244</v>
      </c>
      <c r="J226" s="667">
        <f>J227</f>
        <v>1000000000</v>
      </c>
      <c r="K226" s="395">
        <f>K227</f>
        <v>1000000000</v>
      </c>
      <c r="L226" s="319"/>
      <c r="M226" s="576"/>
      <c r="N226" s="504"/>
      <c r="Q226" s="145"/>
    </row>
    <row r="227" spans="2:17" s="306" customFormat="1" ht="27.75" customHeight="1" x14ac:dyDescent="0.25">
      <c r="B227" s="13"/>
      <c r="C227" s="263"/>
      <c r="D227" s="388"/>
      <c r="E227" s="156"/>
      <c r="F227" s="389" t="s">
        <v>46</v>
      </c>
      <c r="G227" s="390" t="s">
        <v>362</v>
      </c>
      <c r="H227" s="391"/>
      <c r="I227" s="392"/>
      <c r="J227" s="666">
        <v>1000000000</v>
      </c>
      <c r="K227" s="393">
        <v>1000000000</v>
      </c>
      <c r="L227" s="387"/>
      <c r="M227" s="578"/>
      <c r="N227" s="506"/>
      <c r="O227" s="307"/>
      <c r="Q227" s="307"/>
    </row>
    <row r="228" spans="2:17" s="29" customFormat="1" ht="21.75" customHeight="1" x14ac:dyDescent="0.25">
      <c r="B228" s="13"/>
      <c r="C228" s="49"/>
      <c r="D228" s="79"/>
      <c r="E228" s="109" t="s">
        <v>13</v>
      </c>
      <c r="F228" s="1519" t="s">
        <v>363</v>
      </c>
      <c r="G228" s="1520"/>
      <c r="H228" s="394" t="s">
        <v>364</v>
      </c>
      <c r="I228" s="381" t="s">
        <v>365</v>
      </c>
      <c r="J228" s="667">
        <f>SUM(J229:J230)</f>
        <v>550000000</v>
      </c>
      <c r="K228" s="395">
        <f>SUM(K229:K230)</f>
        <v>550000000</v>
      </c>
      <c r="L228" s="319"/>
      <c r="M228" s="576"/>
      <c r="N228" s="504"/>
      <c r="O228" s="396"/>
      <c r="Q228" s="145"/>
    </row>
    <row r="229" spans="2:17" s="306" customFormat="1" ht="15" customHeight="1" x14ac:dyDescent="0.25">
      <c r="B229" s="13"/>
      <c r="C229" s="263"/>
      <c r="D229" s="388"/>
      <c r="E229" s="156"/>
      <c r="F229" s="397" t="s">
        <v>46</v>
      </c>
      <c r="G229" s="398" t="s">
        <v>366</v>
      </c>
      <c r="H229" s="391"/>
      <c r="I229" s="392" t="s">
        <v>244</v>
      </c>
      <c r="J229" s="666">
        <v>300000000</v>
      </c>
      <c r="K229" s="393">
        <v>300000000</v>
      </c>
      <c r="L229" s="387"/>
      <c r="M229" s="578"/>
      <c r="N229" s="506"/>
      <c r="Q229" s="307"/>
    </row>
    <row r="230" spans="2:17" s="306" customFormat="1" ht="15" customHeight="1" x14ac:dyDescent="0.25">
      <c r="B230" s="13"/>
      <c r="C230" s="263"/>
      <c r="D230" s="388"/>
      <c r="E230" s="156"/>
      <c r="F230" s="397" t="s">
        <v>46</v>
      </c>
      <c r="G230" s="398" t="s">
        <v>367</v>
      </c>
      <c r="H230" s="391"/>
      <c r="I230" s="392" t="s">
        <v>244</v>
      </c>
      <c r="J230" s="666">
        <v>250000000</v>
      </c>
      <c r="K230" s="393">
        <v>250000000</v>
      </c>
      <c r="L230" s="387"/>
      <c r="M230" s="578"/>
      <c r="N230" s="506"/>
      <c r="O230" s="307"/>
      <c r="Q230" s="307"/>
    </row>
    <row r="231" spans="2:17" s="306" customFormat="1" ht="30.75" customHeight="1" x14ac:dyDescent="0.25">
      <c r="B231" s="13"/>
      <c r="C231" s="49"/>
      <c r="D231" s="79"/>
      <c r="E231" s="109" t="s">
        <v>16</v>
      </c>
      <c r="F231" s="1521" t="s">
        <v>368</v>
      </c>
      <c r="G231" s="1522"/>
      <c r="H231" s="354" t="s">
        <v>369</v>
      </c>
      <c r="I231" s="381">
        <v>0.2</v>
      </c>
      <c r="J231" s="667">
        <v>1000000000</v>
      </c>
      <c r="K231" s="395">
        <v>1000000000</v>
      </c>
      <c r="L231" s="319"/>
      <c r="M231" s="576"/>
      <c r="N231" s="504"/>
      <c r="Q231" s="307"/>
    </row>
    <row r="232" spans="2:17" s="306" customFormat="1" ht="22.5" customHeight="1" x14ac:dyDescent="0.25">
      <c r="B232" s="13"/>
      <c r="C232" s="399"/>
      <c r="D232" s="109"/>
      <c r="E232" s="109" t="s">
        <v>19</v>
      </c>
      <c r="F232" s="1517" t="s">
        <v>371</v>
      </c>
      <c r="G232" s="1518"/>
      <c r="H232" s="394" t="s">
        <v>372</v>
      </c>
      <c r="I232" s="381" t="s">
        <v>370</v>
      </c>
      <c r="J232" s="667">
        <v>600000000</v>
      </c>
      <c r="K232" s="395">
        <v>600000000</v>
      </c>
      <c r="L232" s="319"/>
      <c r="M232" s="576"/>
      <c r="N232" s="504"/>
      <c r="Q232" s="307"/>
    </row>
    <row r="233" spans="2:17" s="29" customFormat="1" ht="18.75" customHeight="1" x14ac:dyDescent="0.25">
      <c r="B233" s="13"/>
      <c r="C233" s="400"/>
      <c r="D233" s="77"/>
      <c r="E233" s="77" t="s">
        <v>27</v>
      </c>
      <c r="F233" s="1523" t="s">
        <v>373</v>
      </c>
      <c r="G233" s="1524"/>
      <c r="H233" s="401" t="s">
        <v>374</v>
      </c>
      <c r="I233" s="402" t="s">
        <v>370</v>
      </c>
      <c r="J233" s="659">
        <f>SUM(J234:J234)</f>
        <v>400000000</v>
      </c>
      <c r="K233" s="331">
        <f>SUM(K234:K234)</f>
        <v>400000000</v>
      </c>
      <c r="L233" s="319"/>
      <c r="M233" s="579"/>
      <c r="N233" s="504"/>
      <c r="Q233" s="145"/>
    </row>
    <row r="234" spans="2:17" s="306" customFormat="1" ht="16.5" customHeight="1" x14ac:dyDescent="0.25">
      <c r="B234" s="13"/>
      <c r="C234" s="403"/>
      <c r="D234" s="156"/>
      <c r="E234" s="156"/>
      <c r="F234" s="404" t="s">
        <v>46</v>
      </c>
      <c r="G234" s="405" t="s">
        <v>375</v>
      </c>
      <c r="H234" s="391"/>
      <c r="I234" s="392"/>
      <c r="J234" s="666">
        <v>400000000</v>
      </c>
      <c r="K234" s="393">
        <v>400000000</v>
      </c>
      <c r="L234" s="387"/>
      <c r="M234" s="578"/>
      <c r="N234" s="506"/>
      <c r="Q234" s="307"/>
    </row>
    <row r="235" spans="2:17" s="29" customFormat="1" ht="21" customHeight="1" x14ac:dyDescent="0.25">
      <c r="B235" s="13"/>
      <c r="C235" s="399"/>
      <c r="D235" s="109"/>
      <c r="E235" s="109" t="s">
        <v>30</v>
      </c>
      <c r="F235" s="1525" t="s">
        <v>376</v>
      </c>
      <c r="G235" s="1526"/>
      <c r="H235" s="354" t="s">
        <v>377</v>
      </c>
      <c r="I235" s="406" t="s">
        <v>370</v>
      </c>
      <c r="J235" s="668">
        <v>300000000</v>
      </c>
      <c r="K235" s="407">
        <v>300000000</v>
      </c>
      <c r="L235" s="319"/>
      <c r="M235" s="580"/>
      <c r="N235" s="504"/>
      <c r="Q235" s="145"/>
    </row>
    <row r="236" spans="2:17" s="29" customFormat="1" ht="21" customHeight="1" x14ac:dyDescent="0.25">
      <c r="B236" s="13"/>
      <c r="C236" s="399"/>
      <c r="D236" s="109"/>
      <c r="E236" s="109" t="s">
        <v>8</v>
      </c>
      <c r="F236" s="1510" t="s">
        <v>409</v>
      </c>
      <c r="G236" s="1511"/>
      <c r="H236" s="394" t="s">
        <v>410</v>
      </c>
      <c r="I236" s="381" t="s">
        <v>370</v>
      </c>
      <c r="J236" s="669">
        <v>400000000</v>
      </c>
      <c r="K236" s="408">
        <v>400000000</v>
      </c>
      <c r="L236" s="319"/>
      <c r="M236" s="576"/>
      <c r="N236" s="504"/>
      <c r="Q236" s="145"/>
    </row>
    <row r="237" spans="2:17" s="29" customFormat="1" ht="3.75" customHeight="1" x14ac:dyDescent="0.25">
      <c r="B237" s="13"/>
      <c r="C237" s="399"/>
      <c r="D237" s="109"/>
      <c r="E237" s="109"/>
      <c r="F237" s="409"/>
      <c r="G237" s="410"/>
      <c r="H237" s="354"/>
      <c r="I237" s="406"/>
      <c r="J237" s="670"/>
      <c r="K237" s="411"/>
      <c r="L237" s="319"/>
      <c r="M237" s="580"/>
      <c r="N237" s="504"/>
      <c r="Q237" s="145"/>
    </row>
    <row r="238" spans="2:17" s="29" customFormat="1" ht="35.25" customHeight="1" x14ac:dyDescent="0.25">
      <c r="B238" s="13"/>
      <c r="C238" s="1501" t="s">
        <v>460</v>
      </c>
      <c r="D238" s="1502"/>
      <c r="E238" s="1512" t="s">
        <v>378</v>
      </c>
      <c r="F238" s="1513"/>
      <c r="G238" s="1514"/>
      <c r="H238" s="412" t="s">
        <v>379</v>
      </c>
      <c r="I238" s="413"/>
      <c r="J238" s="649">
        <f>J239+J240+J241</f>
        <v>500000000</v>
      </c>
      <c r="K238" s="283">
        <f>K239+K240+K241</f>
        <v>500000000</v>
      </c>
      <c r="L238" s="104"/>
      <c r="M238" s="581"/>
      <c r="N238" s="14"/>
      <c r="Q238" s="145"/>
    </row>
    <row r="239" spans="2:17" s="29" customFormat="1" ht="23.25" customHeight="1" x14ac:dyDescent="0.25">
      <c r="B239" s="13"/>
      <c r="C239" s="399"/>
      <c r="D239" s="109"/>
      <c r="E239" s="109" t="s">
        <v>5</v>
      </c>
      <c r="F239" s="1515" t="s">
        <v>380</v>
      </c>
      <c r="G239" s="1516"/>
      <c r="H239" s="401" t="s">
        <v>381</v>
      </c>
      <c r="I239" s="402" t="s">
        <v>244</v>
      </c>
      <c r="J239" s="659">
        <v>175000000</v>
      </c>
      <c r="K239" s="331">
        <v>175000000</v>
      </c>
      <c r="L239" s="319"/>
      <c r="M239" s="579"/>
      <c r="N239" s="504"/>
      <c r="Q239" s="145"/>
    </row>
    <row r="240" spans="2:17" s="29" customFormat="1" ht="27.75" customHeight="1" x14ac:dyDescent="0.25">
      <c r="B240" s="13"/>
      <c r="C240" s="399"/>
      <c r="D240" s="109"/>
      <c r="E240" s="109" t="s">
        <v>10</v>
      </c>
      <c r="F240" s="1510" t="s">
        <v>382</v>
      </c>
      <c r="G240" s="1511"/>
      <c r="H240" s="394" t="s">
        <v>383</v>
      </c>
      <c r="I240" s="381" t="s">
        <v>244</v>
      </c>
      <c r="J240" s="667">
        <v>175000000</v>
      </c>
      <c r="K240" s="395">
        <v>175000000</v>
      </c>
      <c r="L240" s="319"/>
      <c r="M240" s="576"/>
      <c r="N240" s="504"/>
      <c r="Q240" s="145"/>
    </row>
    <row r="241" spans="2:17" s="29" customFormat="1" ht="30.75" customHeight="1" x14ac:dyDescent="0.25">
      <c r="B241" s="13"/>
      <c r="C241" s="399"/>
      <c r="D241" s="109"/>
      <c r="E241" s="109" t="s">
        <v>13</v>
      </c>
      <c r="F241" s="1510" t="s">
        <v>384</v>
      </c>
      <c r="G241" s="1511"/>
      <c r="H241" s="394" t="s">
        <v>385</v>
      </c>
      <c r="I241" s="381" t="s">
        <v>244</v>
      </c>
      <c r="J241" s="667">
        <v>150000000</v>
      </c>
      <c r="K241" s="395">
        <v>150000000</v>
      </c>
      <c r="L241" s="319"/>
      <c r="M241" s="576"/>
      <c r="N241" s="504"/>
      <c r="Q241" s="145"/>
    </row>
    <row r="242" spans="2:17" s="29" customFormat="1" ht="16.5" hidden="1" customHeight="1" x14ac:dyDescent="0.25">
      <c r="B242" s="13"/>
      <c r="C242" s="399"/>
      <c r="D242" s="109"/>
      <c r="E242" s="109"/>
      <c r="F242" s="404" t="s">
        <v>46</v>
      </c>
      <c r="G242" s="405" t="s">
        <v>386</v>
      </c>
      <c r="H242" s="391"/>
      <c r="I242" s="392"/>
      <c r="J242" s="671">
        <v>300000000</v>
      </c>
      <c r="K242" s="414">
        <v>300000000</v>
      </c>
      <c r="L242" s="387"/>
      <c r="M242" s="578"/>
      <c r="N242" s="506"/>
      <c r="Q242" s="145"/>
    </row>
    <row r="243" spans="2:17" ht="3.75" customHeight="1" x14ac:dyDescent="0.25">
      <c r="C243" s="415"/>
      <c r="D243" s="338"/>
      <c r="E243" s="338"/>
      <c r="F243" s="416"/>
      <c r="G243" s="417"/>
      <c r="H243" s="367"/>
      <c r="I243" s="418"/>
      <c r="J243" s="648"/>
      <c r="K243" s="281"/>
      <c r="L243" s="101"/>
      <c r="M243" s="582"/>
      <c r="N243" s="491"/>
      <c r="Q243" s="230"/>
    </row>
    <row r="244" spans="2:17" s="15" customFormat="1" ht="36.75" customHeight="1" x14ac:dyDescent="0.25">
      <c r="B244" s="13"/>
      <c r="C244" s="1501" t="s">
        <v>461</v>
      </c>
      <c r="D244" s="1502"/>
      <c r="E244" s="1512" t="s">
        <v>387</v>
      </c>
      <c r="F244" s="1513"/>
      <c r="G244" s="1514"/>
      <c r="H244" s="231" t="s">
        <v>388</v>
      </c>
      <c r="I244" s="379"/>
      <c r="J244" s="649">
        <f>J245</f>
        <v>300000000</v>
      </c>
      <c r="K244" s="283">
        <f>K245</f>
        <v>300000000</v>
      </c>
      <c r="L244" s="104"/>
      <c r="M244" s="575"/>
      <c r="N244" s="14"/>
      <c r="Q244" s="145"/>
    </row>
    <row r="245" spans="2:17" s="29" customFormat="1" ht="31.5" customHeight="1" x14ac:dyDescent="0.25">
      <c r="B245" s="13"/>
      <c r="C245" s="76"/>
      <c r="D245" s="77"/>
      <c r="E245" s="77" t="s">
        <v>5</v>
      </c>
      <c r="F245" s="1503" t="s">
        <v>390</v>
      </c>
      <c r="G245" s="1504"/>
      <c r="H245" s="293" t="s">
        <v>388</v>
      </c>
      <c r="I245" s="419">
        <v>1</v>
      </c>
      <c r="J245" s="659">
        <v>300000000</v>
      </c>
      <c r="K245" s="331">
        <v>300000000</v>
      </c>
      <c r="L245" s="319"/>
      <c r="M245" s="583"/>
      <c r="N245" s="504"/>
      <c r="Q245" s="145"/>
    </row>
    <row r="246" spans="2:17" ht="3" customHeight="1" thickBot="1" x14ac:dyDescent="0.3">
      <c r="C246" s="420"/>
      <c r="D246" s="421"/>
      <c r="E246" s="421"/>
      <c r="F246" s="422"/>
      <c r="G246" s="423"/>
      <c r="H246" s="424"/>
      <c r="I246" s="425"/>
      <c r="J246" s="672"/>
      <c r="K246" s="426"/>
      <c r="L246" s="101"/>
      <c r="M246" s="539"/>
      <c r="N246" s="491"/>
    </row>
    <row r="247" spans="2:17" ht="13.5" thickTop="1" x14ac:dyDescent="0.25"/>
  </sheetData>
  <mergeCells count="165">
    <mergeCell ref="C2:K2"/>
    <mergeCell ref="C3:L3"/>
    <mergeCell ref="C4:L4"/>
    <mergeCell ref="C6:D6"/>
    <mergeCell ref="E6:G6"/>
    <mergeCell ref="C8:E9"/>
    <mergeCell ref="F8:G9"/>
    <mergeCell ref="H8:H9"/>
    <mergeCell ref="I8:I9"/>
    <mergeCell ref="J8:J9"/>
    <mergeCell ref="D13:G13"/>
    <mergeCell ref="E14:G14"/>
    <mergeCell ref="E15:G15"/>
    <mergeCell ref="E16:G16"/>
    <mergeCell ref="E17:G17"/>
    <mergeCell ref="E18:G18"/>
    <mergeCell ref="K8:K9"/>
    <mergeCell ref="M8:M9"/>
    <mergeCell ref="C10:E10"/>
    <mergeCell ref="F10:G10"/>
    <mergeCell ref="D11:G11"/>
    <mergeCell ref="D12:I12"/>
    <mergeCell ref="E25:G25"/>
    <mergeCell ref="E26:G26"/>
    <mergeCell ref="E27:G27"/>
    <mergeCell ref="E28:G28"/>
    <mergeCell ref="E29:G29"/>
    <mergeCell ref="F30:G30"/>
    <mergeCell ref="E19:G19"/>
    <mergeCell ref="E20:G20"/>
    <mergeCell ref="E21:G21"/>
    <mergeCell ref="E22:G22"/>
    <mergeCell ref="F23:G23"/>
    <mergeCell ref="D24:G24"/>
    <mergeCell ref="E37:G37"/>
    <mergeCell ref="F38:G38"/>
    <mergeCell ref="D39:G39"/>
    <mergeCell ref="E40:G40"/>
    <mergeCell ref="E41:G41"/>
    <mergeCell ref="D42:G42"/>
    <mergeCell ref="F31:G31"/>
    <mergeCell ref="E32:G32"/>
    <mergeCell ref="F33:G33"/>
    <mergeCell ref="F34:G34"/>
    <mergeCell ref="E35:G35"/>
    <mergeCell ref="E36:G36"/>
    <mergeCell ref="E49:G49"/>
    <mergeCell ref="D51:I51"/>
    <mergeCell ref="C52:D52"/>
    <mergeCell ref="E52:G52"/>
    <mergeCell ref="F53:G53"/>
    <mergeCell ref="F54:G54"/>
    <mergeCell ref="E43:G43"/>
    <mergeCell ref="E44:G44"/>
    <mergeCell ref="D45:G45"/>
    <mergeCell ref="E46:G46"/>
    <mergeCell ref="E47:G47"/>
    <mergeCell ref="E48:G48"/>
    <mergeCell ref="F67:G67"/>
    <mergeCell ref="F74:G74"/>
    <mergeCell ref="F88:G88"/>
    <mergeCell ref="F89:G89"/>
    <mergeCell ref="F91:G91"/>
    <mergeCell ref="F94:G94"/>
    <mergeCell ref="F57:G57"/>
    <mergeCell ref="F60:G60"/>
    <mergeCell ref="F61:G61"/>
    <mergeCell ref="F64:G64"/>
    <mergeCell ref="F65:G65"/>
    <mergeCell ref="F66:G66"/>
    <mergeCell ref="F119:G119"/>
    <mergeCell ref="F121:G121"/>
    <mergeCell ref="F124:G124"/>
    <mergeCell ref="C128:D128"/>
    <mergeCell ref="E128:G128"/>
    <mergeCell ref="F129:G129"/>
    <mergeCell ref="F98:G98"/>
    <mergeCell ref="F104:G104"/>
    <mergeCell ref="F107:G107"/>
    <mergeCell ref="F111:G111"/>
    <mergeCell ref="F115:G115"/>
    <mergeCell ref="F117:G117"/>
    <mergeCell ref="F139:G139"/>
    <mergeCell ref="F140:G140"/>
    <mergeCell ref="F141:G141"/>
    <mergeCell ref="F142:G142"/>
    <mergeCell ref="F145:G145"/>
    <mergeCell ref="F146:G146"/>
    <mergeCell ref="F130:G130"/>
    <mergeCell ref="F131:G131"/>
    <mergeCell ref="F132:G132"/>
    <mergeCell ref="F136:G136"/>
    <mergeCell ref="F137:G137"/>
    <mergeCell ref="F138:G138"/>
    <mergeCell ref="C153:D153"/>
    <mergeCell ref="E153:G153"/>
    <mergeCell ref="F154:G154"/>
    <mergeCell ref="F155:G155"/>
    <mergeCell ref="F156:G156"/>
    <mergeCell ref="F157:G157"/>
    <mergeCell ref="F147:G147"/>
    <mergeCell ref="F148:G148"/>
    <mergeCell ref="F149:G149"/>
    <mergeCell ref="F150:G150"/>
    <mergeCell ref="F151:G151"/>
    <mergeCell ref="F152:G152"/>
    <mergeCell ref="C166:D166"/>
    <mergeCell ref="E166:G166"/>
    <mergeCell ref="F167:G167"/>
    <mergeCell ref="F171:G171"/>
    <mergeCell ref="F174:G174"/>
    <mergeCell ref="F177:G177"/>
    <mergeCell ref="C158:D158"/>
    <mergeCell ref="E158:G158"/>
    <mergeCell ref="F159:G159"/>
    <mergeCell ref="F160:G160"/>
    <mergeCell ref="F162:G162"/>
    <mergeCell ref="F164:G164"/>
    <mergeCell ref="F198:G198"/>
    <mergeCell ref="F201:G201"/>
    <mergeCell ref="F202:G202"/>
    <mergeCell ref="F203:G203"/>
    <mergeCell ref="F204:G204"/>
    <mergeCell ref="F205:G205"/>
    <mergeCell ref="F180:G180"/>
    <mergeCell ref="F184:G184"/>
    <mergeCell ref="F187:G187"/>
    <mergeCell ref="F190:G190"/>
    <mergeCell ref="F194:G194"/>
    <mergeCell ref="F197:G197"/>
    <mergeCell ref="C222:D222"/>
    <mergeCell ref="E222:G222"/>
    <mergeCell ref="F212:G212"/>
    <mergeCell ref="F213:G213"/>
    <mergeCell ref="C215:D215"/>
    <mergeCell ref="E215:G215"/>
    <mergeCell ref="F216:G216"/>
    <mergeCell ref="F217:G217"/>
    <mergeCell ref="F206:G206"/>
    <mergeCell ref="C207:D207"/>
    <mergeCell ref="E207:G207"/>
    <mergeCell ref="F208:G208"/>
    <mergeCell ref="F209:G209"/>
    <mergeCell ref="C211:D211"/>
    <mergeCell ref="E211:G211"/>
    <mergeCell ref="F223:G223"/>
    <mergeCell ref="F226:G226"/>
    <mergeCell ref="F228:G228"/>
    <mergeCell ref="F231:G231"/>
    <mergeCell ref="F232:G232"/>
    <mergeCell ref="F233:G233"/>
    <mergeCell ref="F218:G218"/>
    <mergeCell ref="F219:G219"/>
    <mergeCell ref="F220:G220"/>
    <mergeCell ref="F221:G221"/>
    <mergeCell ref="F241:G241"/>
    <mergeCell ref="C244:D244"/>
    <mergeCell ref="E244:G244"/>
    <mergeCell ref="F245:G245"/>
    <mergeCell ref="F235:G235"/>
    <mergeCell ref="F236:G236"/>
    <mergeCell ref="C238:D238"/>
    <mergeCell ref="E238:G238"/>
    <mergeCell ref="F239:G239"/>
    <mergeCell ref="F240:G240"/>
  </mergeCells>
  <printOptions horizontalCentered="1"/>
  <pageMargins left="0.43307086614173229" right="0.43307086614173229" top="0.59055118110236227" bottom="0.39370078740157483" header="0" footer="0"/>
  <pageSetup paperSize="9" scale="53" fitToHeight="0" orientation="portrait" useFirstPageNumber="1" r:id="rId1"/>
  <headerFooter>
    <oddFooter>&amp;L&amp;"Cambria,Italic"&amp;7&amp;K05-049&amp;F / &amp;A&amp;C&amp;"Cambria,Italic"&amp;7&amp;K04-021Hal &amp;P dari &amp;N&amp;R&amp;"-,Italic"&amp;7&amp;K09-022&amp;D /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2:T262"/>
  <sheetViews>
    <sheetView view="pageBreakPreview" topLeftCell="A61" zoomScale="70" zoomScaleNormal="85" zoomScaleSheetLayoutView="70" workbookViewId="0">
      <selection activeCell="H108" sqref="H108"/>
    </sheetView>
  </sheetViews>
  <sheetFormatPr defaultRowHeight="12.75" x14ac:dyDescent="0.25"/>
  <cols>
    <col min="1" max="1" width="9" style="53" customWidth="1"/>
    <col min="2" max="2" width="0.5703125" style="13" customWidth="1"/>
    <col min="3" max="3" width="3.28515625" style="427" customWidth="1"/>
    <col min="4" max="4" width="4.140625" style="428" customWidth="1"/>
    <col min="5" max="5" width="3.5703125" style="428" customWidth="1"/>
    <col min="6" max="6" width="2.7109375" style="428" customWidth="1"/>
    <col min="7" max="7" width="56.7109375" style="429" customWidth="1"/>
    <col min="8" max="8" width="52" style="430" customWidth="1"/>
    <col min="9" max="9" width="9.85546875" style="431" customWidth="1"/>
    <col min="10" max="10" width="21.42578125" style="432" customWidth="1"/>
    <col min="11" max="12" width="22.140625" style="432" customWidth="1"/>
    <col min="13" max="13" width="20.140625" style="432" customWidth="1"/>
    <col min="14" max="14" width="22.140625" style="432" hidden="1" customWidth="1"/>
    <col min="15" max="15" width="0.5703125" style="291" customWidth="1"/>
    <col min="16" max="16" width="22.28515625" style="431" customWidth="1"/>
    <col min="17" max="17" width="4.85546875" style="500" customWidth="1"/>
    <col min="18" max="18" width="22.7109375" style="53" customWidth="1"/>
    <col min="19" max="20" width="14.140625" style="53" customWidth="1"/>
    <col min="21" max="29" width="10.5703125" style="53" customWidth="1"/>
    <col min="30" max="235" width="9.140625" style="53"/>
    <col min="236" max="236" width="1.7109375" style="53" customWidth="1"/>
    <col min="237" max="238" width="4.7109375" style="53" customWidth="1"/>
    <col min="239" max="239" width="54.140625" style="53" customWidth="1"/>
    <col min="240" max="240" width="52" style="53" customWidth="1"/>
    <col min="241" max="241" width="5.28515625" style="53" customWidth="1"/>
    <col min="242" max="242" width="5.85546875" style="53" bestFit="1" customWidth="1"/>
    <col min="243" max="243" width="16.42578125" style="53" customWidth="1"/>
    <col min="244" max="244" width="4.5703125" style="53" customWidth="1"/>
    <col min="245" max="245" width="14.140625" style="53" customWidth="1"/>
    <col min="246" max="246" width="27.140625" style="53" customWidth="1"/>
    <col min="247" max="247" width="16.28515625" style="53" customWidth="1"/>
    <col min="248" max="248" width="13.85546875" style="53" customWidth="1"/>
    <col min="249" max="491" width="9.140625" style="53"/>
    <col min="492" max="492" width="1.7109375" style="53" customWidth="1"/>
    <col min="493" max="494" width="4.7109375" style="53" customWidth="1"/>
    <col min="495" max="495" width="54.140625" style="53" customWidth="1"/>
    <col min="496" max="496" width="52" style="53" customWidth="1"/>
    <col min="497" max="497" width="5.28515625" style="53" customWidth="1"/>
    <col min="498" max="498" width="5.85546875" style="53" bestFit="1" customWidth="1"/>
    <col min="499" max="499" width="16.42578125" style="53" customWidth="1"/>
    <col min="500" max="500" width="4.5703125" style="53" customWidth="1"/>
    <col min="501" max="501" width="14.140625" style="53" customWidth="1"/>
    <col min="502" max="502" width="27.140625" style="53" customWidth="1"/>
    <col min="503" max="503" width="16.28515625" style="53" customWidth="1"/>
    <col min="504" max="504" width="13.85546875" style="53" customWidth="1"/>
    <col min="505" max="747" width="9.140625" style="53"/>
    <col min="748" max="748" width="1.7109375" style="53" customWidth="1"/>
    <col min="749" max="750" width="4.7109375" style="53" customWidth="1"/>
    <col min="751" max="751" width="54.140625" style="53" customWidth="1"/>
    <col min="752" max="752" width="52" style="53" customWidth="1"/>
    <col min="753" max="753" width="5.28515625" style="53" customWidth="1"/>
    <col min="754" max="754" width="5.85546875" style="53" bestFit="1" customWidth="1"/>
    <col min="755" max="755" width="16.42578125" style="53" customWidth="1"/>
    <col min="756" max="756" width="4.5703125" style="53" customWidth="1"/>
    <col min="757" max="757" width="14.140625" style="53" customWidth="1"/>
    <col min="758" max="758" width="27.140625" style="53" customWidth="1"/>
    <col min="759" max="759" width="16.28515625" style="53" customWidth="1"/>
    <col min="760" max="760" width="13.85546875" style="53" customWidth="1"/>
    <col min="761" max="1003" width="9.140625" style="53"/>
    <col min="1004" max="1004" width="1.7109375" style="53" customWidth="1"/>
    <col min="1005" max="1006" width="4.7109375" style="53" customWidth="1"/>
    <col min="1007" max="1007" width="54.140625" style="53" customWidth="1"/>
    <col min="1008" max="1008" width="52" style="53" customWidth="1"/>
    <col min="1009" max="1009" width="5.28515625" style="53" customWidth="1"/>
    <col min="1010" max="1010" width="5.85546875" style="53" bestFit="1" customWidth="1"/>
    <col min="1011" max="1011" width="16.42578125" style="53" customWidth="1"/>
    <col min="1012" max="1012" width="4.5703125" style="53" customWidth="1"/>
    <col min="1013" max="1013" width="14.140625" style="53" customWidth="1"/>
    <col min="1014" max="1014" width="27.140625" style="53" customWidth="1"/>
    <col min="1015" max="1015" width="16.28515625" style="53" customWidth="1"/>
    <col min="1016" max="1016" width="13.85546875" style="53" customWidth="1"/>
    <col min="1017" max="1259" width="9.140625" style="53"/>
    <col min="1260" max="1260" width="1.7109375" style="53" customWidth="1"/>
    <col min="1261" max="1262" width="4.7109375" style="53" customWidth="1"/>
    <col min="1263" max="1263" width="54.140625" style="53" customWidth="1"/>
    <col min="1264" max="1264" width="52" style="53" customWidth="1"/>
    <col min="1265" max="1265" width="5.28515625" style="53" customWidth="1"/>
    <col min="1266" max="1266" width="5.85546875" style="53" bestFit="1" customWidth="1"/>
    <col min="1267" max="1267" width="16.42578125" style="53" customWidth="1"/>
    <col min="1268" max="1268" width="4.5703125" style="53" customWidth="1"/>
    <col min="1269" max="1269" width="14.140625" style="53" customWidth="1"/>
    <col min="1270" max="1270" width="27.140625" style="53" customWidth="1"/>
    <col min="1271" max="1271" width="16.28515625" style="53" customWidth="1"/>
    <col min="1272" max="1272" width="13.85546875" style="53" customWidth="1"/>
    <col min="1273" max="1515" width="9.140625" style="53"/>
    <col min="1516" max="1516" width="1.7109375" style="53" customWidth="1"/>
    <col min="1517" max="1518" width="4.7109375" style="53" customWidth="1"/>
    <col min="1519" max="1519" width="54.140625" style="53" customWidth="1"/>
    <col min="1520" max="1520" width="52" style="53" customWidth="1"/>
    <col min="1521" max="1521" width="5.28515625" style="53" customWidth="1"/>
    <col min="1522" max="1522" width="5.85546875" style="53" bestFit="1" customWidth="1"/>
    <col min="1523" max="1523" width="16.42578125" style="53" customWidth="1"/>
    <col min="1524" max="1524" width="4.5703125" style="53" customWidth="1"/>
    <col min="1525" max="1525" width="14.140625" style="53" customWidth="1"/>
    <col min="1526" max="1526" width="27.140625" style="53" customWidth="1"/>
    <col min="1527" max="1527" width="16.28515625" style="53" customWidth="1"/>
    <col min="1528" max="1528" width="13.85546875" style="53" customWidth="1"/>
    <col min="1529" max="1771" width="9.140625" style="53"/>
    <col min="1772" max="1772" width="1.7109375" style="53" customWidth="1"/>
    <col min="1773" max="1774" width="4.7109375" style="53" customWidth="1"/>
    <col min="1775" max="1775" width="54.140625" style="53" customWidth="1"/>
    <col min="1776" max="1776" width="52" style="53" customWidth="1"/>
    <col min="1777" max="1777" width="5.28515625" style="53" customWidth="1"/>
    <col min="1778" max="1778" width="5.85546875" style="53" bestFit="1" customWidth="1"/>
    <col min="1779" max="1779" width="16.42578125" style="53" customWidth="1"/>
    <col min="1780" max="1780" width="4.5703125" style="53" customWidth="1"/>
    <col min="1781" max="1781" width="14.140625" style="53" customWidth="1"/>
    <col min="1782" max="1782" width="27.140625" style="53" customWidth="1"/>
    <col min="1783" max="1783" width="16.28515625" style="53" customWidth="1"/>
    <col min="1784" max="1784" width="13.85546875" style="53" customWidth="1"/>
    <col min="1785" max="2027" width="9.140625" style="53"/>
    <col min="2028" max="2028" width="1.7109375" style="53" customWidth="1"/>
    <col min="2029" max="2030" width="4.7109375" style="53" customWidth="1"/>
    <col min="2031" max="2031" width="54.140625" style="53" customWidth="1"/>
    <col min="2032" max="2032" width="52" style="53" customWidth="1"/>
    <col min="2033" max="2033" width="5.28515625" style="53" customWidth="1"/>
    <col min="2034" max="2034" width="5.85546875" style="53" bestFit="1" customWidth="1"/>
    <col min="2035" max="2035" width="16.42578125" style="53" customWidth="1"/>
    <col min="2036" max="2036" width="4.5703125" style="53" customWidth="1"/>
    <col min="2037" max="2037" width="14.140625" style="53" customWidth="1"/>
    <col min="2038" max="2038" width="27.140625" style="53" customWidth="1"/>
    <col min="2039" max="2039" width="16.28515625" style="53" customWidth="1"/>
    <col min="2040" max="2040" width="13.85546875" style="53" customWidth="1"/>
    <col min="2041" max="2283" width="9.140625" style="53"/>
    <col min="2284" max="2284" width="1.7109375" style="53" customWidth="1"/>
    <col min="2285" max="2286" width="4.7109375" style="53" customWidth="1"/>
    <col min="2287" max="2287" width="54.140625" style="53" customWidth="1"/>
    <col min="2288" max="2288" width="52" style="53" customWidth="1"/>
    <col min="2289" max="2289" width="5.28515625" style="53" customWidth="1"/>
    <col min="2290" max="2290" width="5.85546875" style="53" bestFit="1" customWidth="1"/>
    <col min="2291" max="2291" width="16.42578125" style="53" customWidth="1"/>
    <col min="2292" max="2292" width="4.5703125" style="53" customWidth="1"/>
    <col min="2293" max="2293" width="14.140625" style="53" customWidth="1"/>
    <col min="2294" max="2294" width="27.140625" style="53" customWidth="1"/>
    <col min="2295" max="2295" width="16.28515625" style="53" customWidth="1"/>
    <col min="2296" max="2296" width="13.85546875" style="53" customWidth="1"/>
    <col min="2297" max="2539" width="9.140625" style="53"/>
    <col min="2540" max="2540" width="1.7109375" style="53" customWidth="1"/>
    <col min="2541" max="2542" width="4.7109375" style="53" customWidth="1"/>
    <col min="2543" max="2543" width="54.140625" style="53" customWidth="1"/>
    <col min="2544" max="2544" width="52" style="53" customWidth="1"/>
    <col min="2545" max="2545" width="5.28515625" style="53" customWidth="1"/>
    <col min="2546" max="2546" width="5.85546875" style="53" bestFit="1" customWidth="1"/>
    <col min="2547" max="2547" width="16.42578125" style="53" customWidth="1"/>
    <col min="2548" max="2548" width="4.5703125" style="53" customWidth="1"/>
    <col min="2549" max="2549" width="14.140625" style="53" customWidth="1"/>
    <col min="2550" max="2550" width="27.140625" style="53" customWidth="1"/>
    <col min="2551" max="2551" width="16.28515625" style="53" customWidth="1"/>
    <col min="2552" max="2552" width="13.85546875" style="53" customWidth="1"/>
    <col min="2553" max="2795" width="9.140625" style="53"/>
    <col min="2796" max="2796" width="1.7109375" style="53" customWidth="1"/>
    <col min="2797" max="2798" width="4.7109375" style="53" customWidth="1"/>
    <col min="2799" max="2799" width="54.140625" style="53" customWidth="1"/>
    <col min="2800" max="2800" width="52" style="53" customWidth="1"/>
    <col min="2801" max="2801" width="5.28515625" style="53" customWidth="1"/>
    <col min="2802" max="2802" width="5.85546875" style="53" bestFit="1" customWidth="1"/>
    <col min="2803" max="2803" width="16.42578125" style="53" customWidth="1"/>
    <col min="2804" max="2804" width="4.5703125" style="53" customWidth="1"/>
    <col min="2805" max="2805" width="14.140625" style="53" customWidth="1"/>
    <col min="2806" max="2806" width="27.140625" style="53" customWidth="1"/>
    <col min="2807" max="2807" width="16.28515625" style="53" customWidth="1"/>
    <col min="2808" max="2808" width="13.85546875" style="53" customWidth="1"/>
    <col min="2809" max="3051" width="9.140625" style="53"/>
    <col min="3052" max="3052" width="1.7109375" style="53" customWidth="1"/>
    <col min="3053" max="3054" width="4.7109375" style="53" customWidth="1"/>
    <col min="3055" max="3055" width="54.140625" style="53" customWidth="1"/>
    <col min="3056" max="3056" width="52" style="53" customWidth="1"/>
    <col min="3057" max="3057" width="5.28515625" style="53" customWidth="1"/>
    <col min="3058" max="3058" width="5.85546875" style="53" bestFit="1" customWidth="1"/>
    <col min="3059" max="3059" width="16.42578125" style="53" customWidth="1"/>
    <col min="3060" max="3060" width="4.5703125" style="53" customWidth="1"/>
    <col min="3061" max="3061" width="14.140625" style="53" customWidth="1"/>
    <col min="3062" max="3062" width="27.140625" style="53" customWidth="1"/>
    <col min="3063" max="3063" width="16.28515625" style="53" customWidth="1"/>
    <col min="3064" max="3064" width="13.85546875" style="53" customWidth="1"/>
    <col min="3065" max="3307" width="9.140625" style="53"/>
    <col min="3308" max="3308" width="1.7109375" style="53" customWidth="1"/>
    <col min="3309" max="3310" width="4.7109375" style="53" customWidth="1"/>
    <col min="3311" max="3311" width="54.140625" style="53" customWidth="1"/>
    <col min="3312" max="3312" width="52" style="53" customWidth="1"/>
    <col min="3313" max="3313" width="5.28515625" style="53" customWidth="1"/>
    <col min="3314" max="3314" width="5.85546875" style="53" bestFit="1" customWidth="1"/>
    <col min="3315" max="3315" width="16.42578125" style="53" customWidth="1"/>
    <col min="3316" max="3316" width="4.5703125" style="53" customWidth="1"/>
    <col min="3317" max="3317" width="14.140625" style="53" customWidth="1"/>
    <col min="3318" max="3318" width="27.140625" style="53" customWidth="1"/>
    <col min="3319" max="3319" width="16.28515625" style="53" customWidth="1"/>
    <col min="3320" max="3320" width="13.85546875" style="53" customWidth="1"/>
    <col min="3321" max="3563" width="9.140625" style="53"/>
    <col min="3564" max="3564" width="1.7109375" style="53" customWidth="1"/>
    <col min="3565" max="3566" width="4.7109375" style="53" customWidth="1"/>
    <col min="3567" max="3567" width="54.140625" style="53" customWidth="1"/>
    <col min="3568" max="3568" width="52" style="53" customWidth="1"/>
    <col min="3569" max="3569" width="5.28515625" style="53" customWidth="1"/>
    <col min="3570" max="3570" width="5.85546875" style="53" bestFit="1" customWidth="1"/>
    <col min="3571" max="3571" width="16.42578125" style="53" customWidth="1"/>
    <col min="3572" max="3572" width="4.5703125" style="53" customWidth="1"/>
    <col min="3573" max="3573" width="14.140625" style="53" customWidth="1"/>
    <col min="3574" max="3574" width="27.140625" style="53" customWidth="1"/>
    <col min="3575" max="3575" width="16.28515625" style="53" customWidth="1"/>
    <col min="3576" max="3576" width="13.85546875" style="53" customWidth="1"/>
    <col min="3577" max="3819" width="9.140625" style="53"/>
    <col min="3820" max="3820" width="1.7109375" style="53" customWidth="1"/>
    <col min="3821" max="3822" width="4.7109375" style="53" customWidth="1"/>
    <col min="3823" max="3823" width="54.140625" style="53" customWidth="1"/>
    <col min="3824" max="3824" width="52" style="53" customWidth="1"/>
    <col min="3825" max="3825" width="5.28515625" style="53" customWidth="1"/>
    <col min="3826" max="3826" width="5.85546875" style="53" bestFit="1" customWidth="1"/>
    <col min="3827" max="3827" width="16.42578125" style="53" customWidth="1"/>
    <col min="3828" max="3828" width="4.5703125" style="53" customWidth="1"/>
    <col min="3829" max="3829" width="14.140625" style="53" customWidth="1"/>
    <col min="3830" max="3830" width="27.140625" style="53" customWidth="1"/>
    <col min="3831" max="3831" width="16.28515625" style="53" customWidth="1"/>
    <col min="3832" max="3832" width="13.85546875" style="53" customWidth="1"/>
    <col min="3833" max="4075" width="9.140625" style="53"/>
    <col min="4076" max="4076" width="1.7109375" style="53" customWidth="1"/>
    <col min="4077" max="4078" width="4.7109375" style="53" customWidth="1"/>
    <col min="4079" max="4079" width="54.140625" style="53" customWidth="1"/>
    <col min="4080" max="4080" width="52" style="53" customWidth="1"/>
    <col min="4081" max="4081" width="5.28515625" style="53" customWidth="1"/>
    <col min="4082" max="4082" width="5.85546875" style="53" bestFit="1" customWidth="1"/>
    <col min="4083" max="4083" width="16.42578125" style="53" customWidth="1"/>
    <col min="4084" max="4084" width="4.5703125" style="53" customWidth="1"/>
    <col min="4085" max="4085" width="14.140625" style="53" customWidth="1"/>
    <col min="4086" max="4086" width="27.140625" style="53" customWidth="1"/>
    <col min="4087" max="4087" width="16.28515625" style="53" customWidth="1"/>
    <col min="4088" max="4088" width="13.85546875" style="53" customWidth="1"/>
    <col min="4089" max="4331" width="9.140625" style="53"/>
    <col min="4332" max="4332" width="1.7109375" style="53" customWidth="1"/>
    <col min="4333" max="4334" width="4.7109375" style="53" customWidth="1"/>
    <col min="4335" max="4335" width="54.140625" style="53" customWidth="1"/>
    <col min="4336" max="4336" width="52" style="53" customWidth="1"/>
    <col min="4337" max="4337" width="5.28515625" style="53" customWidth="1"/>
    <col min="4338" max="4338" width="5.85546875" style="53" bestFit="1" customWidth="1"/>
    <col min="4339" max="4339" width="16.42578125" style="53" customWidth="1"/>
    <col min="4340" max="4340" width="4.5703125" style="53" customWidth="1"/>
    <col min="4341" max="4341" width="14.140625" style="53" customWidth="1"/>
    <col min="4342" max="4342" width="27.140625" style="53" customWidth="1"/>
    <col min="4343" max="4343" width="16.28515625" style="53" customWidth="1"/>
    <col min="4344" max="4344" width="13.85546875" style="53" customWidth="1"/>
    <col min="4345" max="4587" width="9.140625" style="53"/>
    <col min="4588" max="4588" width="1.7109375" style="53" customWidth="1"/>
    <col min="4589" max="4590" width="4.7109375" style="53" customWidth="1"/>
    <col min="4591" max="4591" width="54.140625" style="53" customWidth="1"/>
    <col min="4592" max="4592" width="52" style="53" customWidth="1"/>
    <col min="4593" max="4593" width="5.28515625" style="53" customWidth="1"/>
    <col min="4594" max="4594" width="5.85546875" style="53" bestFit="1" customWidth="1"/>
    <col min="4595" max="4595" width="16.42578125" style="53" customWidth="1"/>
    <col min="4596" max="4596" width="4.5703125" style="53" customWidth="1"/>
    <col min="4597" max="4597" width="14.140625" style="53" customWidth="1"/>
    <col min="4598" max="4598" width="27.140625" style="53" customWidth="1"/>
    <col min="4599" max="4599" width="16.28515625" style="53" customWidth="1"/>
    <col min="4600" max="4600" width="13.85546875" style="53" customWidth="1"/>
    <col min="4601" max="4843" width="9.140625" style="53"/>
    <col min="4844" max="4844" width="1.7109375" style="53" customWidth="1"/>
    <col min="4845" max="4846" width="4.7109375" style="53" customWidth="1"/>
    <col min="4847" max="4847" width="54.140625" style="53" customWidth="1"/>
    <col min="4848" max="4848" width="52" style="53" customWidth="1"/>
    <col min="4849" max="4849" width="5.28515625" style="53" customWidth="1"/>
    <col min="4850" max="4850" width="5.85546875" style="53" bestFit="1" customWidth="1"/>
    <col min="4851" max="4851" width="16.42578125" style="53" customWidth="1"/>
    <col min="4852" max="4852" width="4.5703125" style="53" customWidth="1"/>
    <col min="4853" max="4853" width="14.140625" style="53" customWidth="1"/>
    <col min="4854" max="4854" width="27.140625" style="53" customWidth="1"/>
    <col min="4855" max="4855" width="16.28515625" style="53" customWidth="1"/>
    <col min="4856" max="4856" width="13.85546875" style="53" customWidth="1"/>
    <col min="4857" max="5099" width="9.140625" style="53"/>
    <col min="5100" max="5100" width="1.7109375" style="53" customWidth="1"/>
    <col min="5101" max="5102" width="4.7109375" style="53" customWidth="1"/>
    <col min="5103" max="5103" width="54.140625" style="53" customWidth="1"/>
    <col min="5104" max="5104" width="52" style="53" customWidth="1"/>
    <col min="5105" max="5105" width="5.28515625" style="53" customWidth="1"/>
    <col min="5106" max="5106" width="5.85546875" style="53" bestFit="1" customWidth="1"/>
    <col min="5107" max="5107" width="16.42578125" style="53" customWidth="1"/>
    <col min="5108" max="5108" width="4.5703125" style="53" customWidth="1"/>
    <col min="5109" max="5109" width="14.140625" style="53" customWidth="1"/>
    <col min="5110" max="5110" width="27.140625" style="53" customWidth="1"/>
    <col min="5111" max="5111" width="16.28515625" style="53" customWidth="1"/>
    <col min="5112" max="5112" width="13.85546875" style="53" customWidth="1"/>
    <col min="5113" max="5355" width="9.140625" style="53"/>
    <col min="5356" max="5356" width="1.7109375" style="53" customWidth="1"/>
    <col min="5357" max="5358" width="4.7109375" style="53" customWidth="1"/>
    <col min="5359" max="5359" width="54.140625" style="53" customWidth="1"/>
    <col min="5360" max="5360" width="52" style="53" customWidth="1"/>
    <col min="5361" max="5361" width="5.28515625" style="53" customWidth="1"/>
    <col min="5362" max="5362" width="5.85546875" style="53" bestFit="1" customWidth="1"/>
    <col min="5363" max="5363" width="16.42578125" style="53" customWidth="1"/>
    <col min="5364" max="5364" width="4.5703125" style="53" customWidth="1"/>
    <col min="5365" max="5365" width="14.140625" style="53" customWidth="1"/>
    <col min="5366" max="5366" width="27.140625" style="53" customWidth="1"/>
    <col min="5367" max="5367" width="16.28515625" style="53" customWidth="1"/>
    <col min="5368" max="5368" width="13.85546875" style="53" customWidth="1"/>
    <col min="5369" max="5611" width="9.140625" style="53"/>
    <col min="5612" max="5612" width="1.7109375" style="53" customWidth="1"/>
    <col min="5613" max="5614" width="4.7109375" style="53" customWidth="1"/>
    <col min="5615" max="5615" width="54.140625" style="53" customWidth="1"/>
    <col min="5616" max="5616" width="52" style="53" customWidth="1"/>
    <col min="5617" max="5617" width="5.28515625" style="53" customWidth="1"/>
    <col min="5618" max="5618" width="5.85546875" style="53" bestFit="1" customWidth="1"/>
    <col min="5619" max="5619" width="16.42578125" style="53" customWidth="1"/>
    <col min="5620" max="5620" width="4.5703125" style="53" customWidth="1"/>
    <col min="5621" max="5621" width="14.140625" style="53" customWidth="1"/>
    <col min="5622" max="5622" width="27.140625" style="53" customWidth="1"/>
    <col min="5623" max="5623" width="16.28515625" style="53" customWidth="1"/>
    <col min="5624" max="5624" width="13.85546875" style="53" customWidth="1"/>
    <col min="5625" max="5867" width="9.140625" style="53"/>
    <col min="5868" max="5868" width="1.7109375" style="53" customWidth="1"/>
    <col min="5869" max="5870" width="4.7109375" style="53" customWidth="1"/>
    <col min="5871" max="5871" width="54.140625" style="53" customWidth="1"/>
    <col min="5872" max="5872" width="52" style="53" customWidth="1"/>
    <col min="5873" max="5873" width="5.28515625" style="53" customWidth="1"/>
    <col min="5874" max="5874" width="5.85546875" style="53" bestFit="1" customWidth="1"/>
    <col min="5875" max="5875" width="16.42578125" style="53" customWidth="1"/>
    <col min="5876" max="5876" width="4.5703125" style="53" customWidth="1"/>
    <col min="5877" max="5877" width="14.140625" style="53" customWidth="1"/>
    <col min="5878" max="5878" width="27.140625" style="53" customWidth="1"/>
    <col min="5879" max="5879" width="16.28515625" style="53" customWidth="1"/>
    <col min="5880" max="5880" width="13.85546875" style="53" customWidth="1"/>
    <col min="5881" max="6123" width="9.140625" style="53"/>
    <col min="6124" max="6124" width="1.7109375" style="53" customWidth="1"/>
    <col min="6125" max="6126" width="4.7109375" style="53" customWidth="1"/>
    <col min="6127" max="6127" width="54.140625" style="53" customWidth="1"/>
    <col min="6128" max="6128" width="52" style="53" customWidth="1"/>
    <col min="6129" max="6129" width="5.28515625" style="53" customWidth="1"/>
    <col min="6130" max="6130" width="5.85546875" style="53" bestFit="1" customWidth="1"/>
    <col min="6131" max="6131" width="16.42578125" style="53" customWidth="1"/>
    <col min="6132" max="6132" width="4.5703125" style="53" customWidth="1"/>
    <col min="6133" max="6133" width="14.140625" style="53" customWidth="1"/>
    <col min="6134" max="6134" width="27.140625" style="53" customWidth="1"/>
    <col min="6135" max="6135" width="16.28515625" style="53" customWidth="1"/>
    <col min="6136" max="6136" width="13.85546875" style="53" customWidth="1"/>
    <col min="6137" max="6379" width="9.140625" style="53"/>
    <col min="6380" max="6380" width="1.7109375" style="53" customWidth="1"/>
    <col min="6381" max="6382" width="4.7109375" style="53" customWidth="1"/>
    <col min="6383" max="6383" width="54.140625" style="53" customWidth="1"/>
    <col min="6384" max="6384" width="52" style="53" customWidth="1"/>
    <col min="6385" max="6385" width="5.28515625" style="53" customWidth="1"/>
    <col min="6386" max="6386" width="5.85546875" style="53" bestFit="1" customWidth="1"/>
    <col min="6387" max="6387" width="16.42578125" style="53" customWidth="1"/>
    <col min="6388" max="6388" width="4.5703125" style="53" customWidth="1"/>
    <col min="6389" max="6389" width="14.140625" style="53" customWidth="1"/>
    <col min="6390" max="6390" width="27.140625" style="53" customWidth="1"/>
    <col min="6391" max="6391" width="16.28515625" style="53" customWidth="1"/>
    <col min="6392" max="6392" width="13.85546875" style="53" customWidth="1"/>
    <col min="6393" max="6635" width="9.140625" style="53"/>
    <col min="6636" max="6636" width="1.7109375" style="53" customWidth="1"/>
    <col min="6637" max="6638" width="4.7109375" style="53" customWidth="1"/>
    <col min="6639" max="6639" width="54.140625" style="53" customWidth="1"/>
    <col min="6640" max="6640" width="52" style="53" customWidth="1"/>
    <col min="6641" max="6641" width="5.28515625" style="53" customWidth="1"/>
    <col min="6642" max="6642" width="5.85546875" style="53" bestFit="1" customWidth="1"/>
    <col min="6643" max="6643" width="16.42578125" style="53" customWidth="1"/>
    <col min="6644" max="6644" width="4.5703125" style="53" customWidth="1"/>
    <col min="6645" max="6645" width="14.140625" style="53" customWidth="1"/>
    <col min="6646" max="6646" width="27.140625" style="53" customWidth="1"/>
    <col min="6647" max="6647" width="16.28515625" style="53" customWidth="1"/>
    <col min="6648" max="6648" width="13.85546875" style="53" customWidth="1"/>
    <col min="6649" max="6891" width="9.140625" style="53"/>
    <col min="6892" max="6892" width="1.7109375" style="53" customWidth="1"/>
    <col min="6893" max="6894" width="4.7109375" style="53" customWidth="1"/>
    <col min="6895" max="6895" width="54.140625" style="53" customWidth="1"/>
    <col min="6896" max="6896" width="52" style="53" customWidth="1"/>
    <col min="6897" max="6897" width="5.28515625" style="53" customWidth="1"/>
    <col min="6898" max="6898" width="5.85546875" style="53" bestFit="1" customWidth="1"/>
    <col min="6899" max="6899" width="16.42578125" style="53" customWidth="1"/>
    <col min="6900" max="6900" width="4.5703125" style="53" customWidth="1"/>
    <col min="6901" max="6901" width="14.140625" style="53" customWidth="1"/>
    <col min="6902" max="6902" width="27.140625" style="53" customWidth="1"/>
    <col min="6903" max="6903" width="16.28515625" style="53" customWidth="1"/>
    <col min="6904" max="6904" width="13.85546875" style="53" customWidth="1"/>
    <col min="6905" max="7147" width="9.140625" style="53"/>
    <col min="7148" max="7148" width="1.7109375" style="53" customWidth="1"/>
    <col min="7149" max="7150" width="4.7109375" style="53" customWidth="1"/>
    <col min="7151" max="7151" width="54.140625" style="53" customWidth="1"/>
    <col min="7152" max="7152" width="52" style="53" customWidth="1"/>
    <col min="7153" max="7153" width="5.28515625" style="53" customWidth="1"/>
    <col min="7154" max="7154" width="5.85546875" style="53" bestFit="1" customWidth="1"/>
    <col min="7155" max="7155" width="16.42578125" style="53" customWidth="1"/>
    <col min="7156" max="7156" width="4.5703125" style="53" customWidth="1"/>
    <col min="7157" max="7157" width="14.140625" style="53" customWidth="1"/>
    <col min="7158" max="7158" width="27.140625" style="53" customWidth="1"/>
    <col min="7159" max="7159" width="16.28515625" style="53" customWidth="1"/>
    <col min="7160" max="7160" width="13.85546875" style="53" customWidth="1"/>
    <col min="7161" max="7403" width="9.140625" style="53"/>
    <col min="7404" max="7404" width="1.7109375" style="53" customWidth="1"/>
    <col min="7405" max="7406" width="4.7109375" style="53" customWidth="1"/>
    <col min="7407" max="7407" width="54.140625" style="53" customWidth="1"/>
    <col min="7408" max="7408" width="52" style="53" customWidth="1"/>
    <col min="7409" max="7409" width="5.28515625" style="53" customWidth="1"/>
    <col min="7410" max="7410" width="5.85546875" style="53" bestFit="1" customWidth="1"/>
    <col min="7411" max="7411" width="16.42578125" style="53" customWidth="1"/>
    <col min="7412" max="7412" width="4.5703125" style="53" customWidth="1"/>
    <col min="7413" max="7413" width="14.140625" style="53" customWidth="1"/>
    <col min="7414" max="7414" width="27.140625" style="53" customWidth="1"/>
    <col min="7415" max="7415" width="16.28515625" style="53" customWidth="1"/>
    <col min="7416" max="7416" width="13.85546875" style="53" customWidth="1"/>
    <col min="7417" max="7659" width="9.140625" style="53"/>
    <col min="7660" max="7660" width="1.7109375" style="53" customWidth="1"/>
    <col min="7661" max="7662" width="4.7109375" style="53" customWidth="1"/>
    <col min="7663" max="7663" width="54.140625" style="53" customWidth="1"/>
    <col min="7664" max="7664" width="52" style="53" customWidth="1"/>
    <col min="7665" max="7665" width="5.28515625" style="53" customWidth="1"/>
    <col min="7666" max="7666" width="5.85546875" style="53" bestFit="1" customWidth="1"/>
    <col min="7667" max="7667" width="16.42578125" style="53" customWidth="1"/>
    <col min="7668" max="7668" width="4.5703125" style="53" customWidth="1"/>
    <col min="7669" max="7669" width="14.140625" style="53" customWidth="1"/>
    <col min="7670" max="7670" width="27.140625" style="53" customWidth="1"/>
    <col min="7671" max="7671" width="16.28515625" style="53" customWidth="1"/>
    <col min="7672" max="7672" width="13.85546875" style="53" customWidth="1"/>
    <col min="7673" max="7915" width="9.140625" style="53"/>
    <col min="7916" max="7916" width="1.7109375" style="53" customWidth="1"/>
    <col min="7917" max="7918" width="4.7109375" style="53" customWidth="1"/>
    <col min="7919" max="7919" width="54.140625" style="53" customWidth="1"/>
    <col min="7920" max="7920" width="52" style="53" customWidth="1"/>
    <col min="7921" max="7921" width="5.28515625" style="53" customWidth="1"/>
    <col min="7922" max="7922" width="5.85546875" style="53" bestFit="1" customWidth="1"/>
    <col min="7923" max="7923" width="16.42578125" style="53" customWidth="1"/>
    <col min="7924" max="7924" width="4.5703125" style="53" customWidth="1"/>
    <col min="7925" max="7925" width="14.140625" style="53" customWidth="1"/>
    <col min="7926" max="7926" width="27.140625" style="53" customWidth="1"/>
    <col min="7927" max="7927" width="16.28515625" style="53" customWidth="1"/>
    <col min="7928" max="7928" width="13.85546875" style="53" customWidth="1"/>
    <col min="7929" max="8171" width="9.140625" style="53"/>
    <col min="8172" max="8172" width="1.7109375" style="53" customWidth="1"/>
    <col min="8173" max="8174" width="4.7109375" style="53" customWidth="1"/>
    <col min="8175" max="8175" width="54.140625" style="53" customWidth="1"/>
    <col min="8176" max="8176" width="52" style="53" customWidth="1"/>
    <col min="8177" max="8177" width="5.28515625" style="53" customWidth="1"/>
    <col min="8178" max="8178" width="5.85546875" style="53" bestFit="1" customWidth="1"/>
    <col min="8179" max="8179" width="16.42578125" style="53" customWidth="1"/>
    <col min="8180" max="8180" width="4.5703125" style="53" customWidth="1"/>
    <col min="8181" max="8181" width="14.140625" style="53" customWidth="1"/>
    <col min="8182" max="8182" width="27.140625" style="53" customWidth="1"/>
    <col min="8183" max="8183" width="16.28515625" style="53" customWidth="1"/>
    <col min="8184" max="8184" width="13.85546875" style="53" customWidth="1"/>
    <col min="8185" max="8427" width="9.140625" style="53"/>
    <col min="8428" max="8428" width="1.7109375" style="53" customWidth="1"/>
    <col min="8429" max="8430" width="4.7109375" style="53" customWidth="1"/>
    <col min="8431" max="8431" width="54.140625" style="53" customWidth="1"/>
    <col min="8432" max="8432" width="52" style="53" customWidth="1"/>
    <col min="8433" max="8433" width="5.28515625" style="53" customWidth="1"/>
    <col min="8434" max="8434" width="5.85546875" style="53" bestFit="1" customWidth="1"/>
    <col min="8435" max="8435" width="16.42578125" style="53" customWidth="1"/>
    <col min="8436" max="8436" width="4.5703125" style="53" customWidth="1"/>
    <col min="8437" max="8437" width="14.140625" style="53" customWidth="1"/>
    <col min="8438" max="8438" width="27.140625" style="53" customWidth="1"/>
    <col min="8439" max="8439" width="16.28515625" style="53" customWidth="1"/>
    <col min="8440" max="8440" width="13.85546875" style="53" customWidth="1"/>
    <col min="8441" max="8683" width="9.140625" style="53"/>
    <col min="8684" max="8684" width="1.7109375" style="53" customWidth="1"/>
    <col min="8685" max="8686" width="4.7109375" style="53" customWidth="1"/>
    <col min="8687" max="8687" width="54.140625" style="53" customWidth="1"/>
    <col min="8688" max="8688" width="52" style="53" customWidth="1"/>
    <col min="8689" max="8689" width="5.28515625" style="53" customWidth="1"/>
    <col min="8690" max="8690" width="5.85546875" style="53" bestFit="1" customWidth="1"/>
    <col min="8691" max="8691" width="16.42578125" style="53" customWidth="1"/>
    <col min="8692" max="8692" width="4.5703125" style="53" customWidth="1"/>
    <col min="8693" max="8693" width="14.140625" style="53" customWidth="1"/>
    <col min="8694" max="8694" width="27.140625" style="53" customWidth="1"/>
    <col min="8695" max="8695" width="16.28515625" style="53" customWidth="1"/>
    <col min="8696" max="8696" width="13.85546875" style="53" customWidth="1"/>
    <col min="8697" max="8939" width="9.140625" style="53"/>
    <col min="8940" max="8940" width="1.7109375" style="53" customWidth="1"/>
    <col min="8941" max="8942" width="4.7109375" style="53" customWidth="1"/>
    <col min="8943" max="8943" width="54.140625" style="53" customWidth="1"/>
    <col min="8944" max="8944" width="52" style="53" customWidth="1"/>
    <col min="8945" max="8945" width="5.28515625" style="53" customWidth="1"/>
    <col min="8946" max="8946" width="5.85546875" style="53" bestFit="1" customWidth="1"/>
    <col min="8947" max="8947" width="16.42578125" style="53" customWidth="1"/>
    <col min="8948" max="8948" width="4.5703125" style="53" customWidth="1"/>
    <col min="8949" max="8949" width="14.140625" style="53" customWidth="1"/>
    <col min="8950" max="8950" width="27.140625" style="53" customWidth="1"/>
    <col min="8951" max="8951" width="16.28515625" style="53" customWidth="1"/>
    <col min="8952" max="8952" width="13.85546875" style="53" customWidth="1"/>
    <col min="8953" max="9195" width="9.140625" style="53"/>
    <col min="9196" max="9196" width="1.7109375" style="53" customWidth="1"/>
    <col min="9197" max="9198" width="4.7109375" style="53" customWidth="1"/>
    <col min="9199" max="9199" width="54.140625" style="53" customWidth="1"/>
    <col min="9200" max="9200" width="52" style="53" customWidth="1"/>
    <col min="9201" max="9201" width="5.28515625" style="53" customWidth="1"/>
    <col min="9202" max="9202" width="5.85546875" style="53" bestFit="1" customWidth="1"/>
    <col min="9203" max="9203" width="16.42578125" style="53" customWidth="1"/>
    <col min="9204" max="9204" width="4.5703125" style="53" customWidth="1"/>
    <col min="9205" max="9205" width="14.140625" style="53" customWidth="1"/>
    <col min="9206" max="9206" width="27.140625" style="53" customWidth="1"/>
    <col min="9207" max="9207" width="16.28515625" style="53" customWidth="1"/>
    <col min="9208" max="9208" width="13.85546875" style="53" customWidth="1"/>
    <col min="9209" max="9451" width="9.140625" style="53"/>
    <col min="9452" max="9452" width="1.7109375" style="53" customWidth="1"/>
    <col min="9453" max="9454" width="4.7109375" style="53" customWidth="1"/>
    <col min="9455" max="9455" width="54.140625" style="53" customWidth="1"/>
    <col min="9456" max="9456" width="52" style="53" customWidth="1"/>
    <col min="9457" max="9457" width="5.28515625" style="53" customWidth="1"/>
    <col min="9458" max="9458" width="5.85546875" style="53" bestFit="1" customWidth="1"/>
    <col min="9459" max="9459" width="16.42578125" style="53" customWidth="1"/>
    <col min="9460" max="9460" width="4.5703125" style="53" customWidth="1"/>
    <col min="9461" max="9461" width="14.140625" style="53" customWidth="1"/>
    <col min="9462" max="9462" width="27.140625" style="53" customWidth="1"/>
    <col min="9463" max="9463" width="16.28515625" style="53" customWidth="1"/>
    <col min="9464" max="9464" width="13.85546875" style="53" customWidth="1"/>
    <col min="9465" max="9707" width="9.140625" style="53"/>
    <col min="9708" max="9708" width="1.7109375" style="53" customWidth="1"/>
    <col min="9709" max="9710" width="4.7109375" style="53" customWidth="1"/>
    <col min="9711" max="9711" width="54.140625" style="53" customWidth="1"/>
    <col min="9712" max="9712" width="52" style="53" customWidth="1"/>
    <col min="9713" max="9713" width="5.28515625" style="53" customWidth="1"/>
    <col min="9714" max="9714" width="5.85546875" style="53" bestFit="1" customWidth="1"/>
    <col min="9715" max="9715" width="16.42578125" style="53" customWidth="1"/>
    <col min="9716" max="9716" width="4.5703125" style="53" customWidth="1"/>
    <col min="9717" max="9717" width="14.140625" style="53" customWidth="1"/>
    <col min="9718" max="9718" width="27.140625" style="53" customWidth="1"/>
    <col min="9719" max="9719" width="16.28515625" style="53" customWidth="1"/>
    <col min="9720" max="9720" width="13.85546875" style="53" customWidth="1"/>
    <col min="9721" max="9963" width="9.140625" style="53"/>
    <col min="9964" max="9964" width="1.7109375" style="53" customWidth="1"/>
    <col min="9965" max="9966" width="4.7109375" style="53" customWidth="1"/>
    <col min="9967" max="9967" width="54.140625" style="53" customWidth="1"/>
    <col min="9968" max="9968" width="52" style="53" customWidth="1"/>
    <col min="9969" max="9969" width="5.28515625" style="53" customWidth="1"/>
    <col min="9970" max="9970" width="5.85546875" style="53" bestFit="1" customWidth="1"/>
    <col min="9971" max="9971" width="16.42578125" style="53" customWidth="1"/>
    <col min="9972" max="9972" width="4.5703125" style="53" customWidth="1"/>
    <col min="9973" max="9973" width="14.140625" style="53" customWidth="1"/>
    <col min="9974" max="9974" width="27.140625" style="53" customWidth="1"/>
    <col min="9975" max="9975" width="16.28515625" style="53" customWidth="1"/>
    <col min="9976" max="9976" width="13.85546875" style="53" customWidth="1"/>
    <col min="9977" max="10219" width="9.140625" style="53"/>
    <col min="10220" max="10220" width="1.7109375" style="53" customWidth="1"/>
    <col min="10221" max="10222" width="4.7109375" style="53" customWidth="1"/>
    <col min="10223" max="10223" width="54.140625" style="53" customWidth="1"/>
    <col min="10224" max="10224" width="52" style="53" customWidth="1"/>
    <col min="10225" max="10225" width="5.28515625" style="53" customWidth="1"/>
    <col min="10226" max="10226" width="5.85546875" style="53" bestFit="1" customWidth="1"/>
    <col min="10227" max="10227" width="16.42578125" style="53" customWidth="1"/>
    <col min="10228" max="10228" width="4.5703125" style="53" customWidth="1"/>
    <col min="10229" max="10229" width="14.140625" style="53" customWidth="1"/>
    <col min="10230" max="10230" width="27.140625" style="53" customWidth="1"/>
    <col min="10231" max="10231" width="16.28515625" style="53" customWidth="1"/>
    <col min="10232" max="10232" width="13.85546875" style="53" customWidth="1"/>
    <col min="10233" max="10475" width="9.140625" style="53"/>
    <col min="10476" max="10476" width="1.7109375" style="53" customWidth="1"/>
    <col min="10477" max="10478" width="4.7109375" style="53" customWidth="1"/>
    <col min="10479" max="10479" width="54.140625" style="53" customWidth="1"/>
    <col min="10480" max="10480" width="52" style="53" customWidth="1"/>
    <col min="10481" max="10481" width="5.28515625" style="53" customWidth="1"/>
    <col min="10482" max="10482" width="5.85546875" style="53" bestFit="1" customWidth="1"/>
    <col min="10483" max="10483" width="16.42578125" style="53" customWidth="1"/>
    <col min="10484" max="10484" width="4.5703125" style="53" customWidth="1"/>
    <col min="10485" max="10485" width="14.140625" style="53" customWidth="1"/>
    <col min="10486" max="10486" width="27.140625" style="53" customWidth="1"/>
    <col min="10487" max="10487" width="16.28515625" style="53" customWidth="1"/>
    <col min="10488" max="10488" width="13.85546875" style="53" customWidth="1"/>
    <col min="10489" max="10731" width="9.140625" style="53"/>
    <col min="10732" max="10732" width="1.7109375" style="53" customWidth="1"/>
    <col min="10733" max="10734" width="4.7109375" style="53" customWidth="1"/>
    <col min="10735" max="10735" width="54.140625" style="53" customWidth="1"/>
    <col min="10736" max="10736" width="52" style="53" customWidth="1"/>
    <col min="10737" max="10737" width="5.28515625" style="53" customWidth="1"/>
    <col min="10738" max="10738" width="5.85546875" style="53" bestFit="1" customWidth="1"/>
    <col min="10739" max="10739" width="16.42578125" style="53" customWidth="1"/>
    <col min="10740" max="10740" width="4.5703125" style="53" customWidth="1"/>
    <col min="10741" max="10741" width="14.140625" style="53" customWidth="1"/>
    <col min="10742" max="10742" width="27.140625" style="53" customWidth="1"/>
    <col min="10743" max="10743" width="16.28515625" style="53" customWidth="1"/>
    <col min="10744" max="10744" width="13.85546875" style="53" customWidth="1"/>
    <col min="10745" max="10987" width="9.140625" style="53"/>
    <col min="10988" max="10988" width="1.7109375" style="53" customWidth="1"/>
    <col min="10989" max="10990" width="4.7109375" style="53" customWidth="1"/>
    <col min="10991" max="10991" width="54.140625" style="53" customWidth="1"/>
    <col min="10992" max="10992" width="52" style="53" customWidth="1"/>
    <col min="10993" max="10993" width="5.28515625" style="53" customWidth="1"/>
    <col min="10994" max="10994" width="5.85546875" style="53" bestFit="1" customWidth="1"/>
    <col min="10995" max="10995" width="16.42578125" style="53" customWidth="1"/>
    <col min="10996" max="10996" width="4.5703125" style="53" customWidth="1"/>
    <col min="10997" max="10997" width="14.140625" style="53" customWidth="1"/>
    <col min="10998" max="10998" width="27.140625" style="53" customWidth="1"/>
    <col min="10999" max="10999" width="16.28515625" style="53" customWidth="1"/>
    <col min="11000" max="11000" width="13.85546875" style="53" customWidth="1"/>
    <col min="11001" max="11243" width="9.140625" style="53"/>
    <col min="11244" max="11244" width="1.7109375" style="53" customWidth="1"/>
    <col min="11245" max="11246" width="4.7109375" style="53" customWidth="1"/>
    <col min="11247" max="11247" width="54.140625" style="53" customWidth="1"/>
    <col min="11248" max="11248" width="52" style="53" customWidth="1"/>
    <col min="11249" max="11249" width="5.28515625" style="53" customWidth="1"/>
    <col min="11250" max="11250" width="5.85546875" style="53" bestFit="1" customWidth="1"/>
    <col min="11251" max="11251" width="16.42578125" style="53" customWidth="1"/>
    <col min="11252" max="11252" width="4.5703125" style="53" customWidth="1"/>
    <col min="11253" max="11253" width="14.140625" style="53" customWidth="1"/>
    <col min="11254" max="11254" width="27.140625" style="53" customWidth="1"/>
    <col min="11255" max="11255" width="16.28515625" style="53" customWidth="1"/>
    <col min="11256" max="11256" width="13.85546875" style="53" customWidth="1"/>
    <col min="11257" max="11499" width="9.140625" style="53"/>
    <col min="11500" max="11500" width="1.7109375" style="53" customWidth="1"/>
    <col min="11501" max="11502" width="4.7109375" style="53" customWidth="1"/>
    <col min="11503" max="11503" width="54.140625" style="53" customWidth="1"/>
    <col min="11504" max="11504" width="52" style="53" customWidth="1"/>
    <col min="11505" max="11505" width="5.28515625" style="53" customWidth="1"/>
    <col min="11506" max="11506" width="5.85546875" style="53" bestFit="1" customWidth="1"/>
    <col min="11507" max="11507" width="16.42578125" style="53" customWidth="1"/>
    <col min="11508" max="11508" width="4.5703125" style="53" customWidth="1"/>
    <col min="11509" max="11509" width="14.140625" style="53" customWidth="1"/>
    <col min="11510" max="11510" width="27.140625" style="53" customWidth="1"/>
    <col min="11511" max="11511" width="16.28515625" style="53" customWidth="1"/>
    <col min="11512" max="11512" width="13.85546875" style="53" customWidth="1"/>
    <col min="11513" max="11755" width="9.140625" style="53"/>
    <col min="11756" max="11756" width="1.7109375" style="53" customWidth="1"/>
    <col min="11757" max="11758" width="4.7109375" style="53" customWidth="1"/>
    <col min="11759" max="11759" width="54.140625" style="53" customWidth="1"/>
    <col min="11760" max="11760" width="52" style="53" customWidth="1"/>
    <col min="11761" max="11761" width="5.28515625" style="53" customWidth="1"/>
    <col min="11762" max="11762" width="5.85546875" style="53" bestFit="1" customWidth="1"/>
    <col min="11763" max="11763" width="16.42578125" style="53" customWidth="1"/>
    <col min="11764" max="11764" width="4.5703125" style="53" customWidth="1"/>
    <col min="11765" max="11765" width="14.140625" style="53" customWidth="1"/>
    <col min="11766" max="11766" width="27.140625" style="53" customWidth="1"/>
    <col min="11767" max="11767" width="16.28515625" style="53" customWidth="1"/>
    <col min="11768" max="11768" width="13.85546875" style="53" customWidth="1"/>
    <col min="11769" max="12011" width="9.140625" style="53"/>
    <col min="12012" max="12012" width="1.7109375" style="53" customWidth="1"/>
    <col min="12013" max="12014" width="4.7109375" style="53" customWidth="1"/>
    <col min="12015" max="12015" width="54.140625" style="53" customWidth="1"/>
    <col min="12016" max="12016" width="52" style="53" customWidth="1"/>
    <col min="12017" max="12017" width="5.28515625" style="53" customWidth="1"/>
    <col min="12018" max="12018" width="5.85546875" style="53" bestFit="1" customWidth="1"/>
    <col min="12019" max="12019" width="16.42578125" style="53" customWidth="1"/>
    <col min="12020" max="12020" width="4.5703125" style="53" customWidth="1"/>
    <col min="12021" max="12021" width="14.140625" style="53" customWidth="1"/>
    <col min="12022" max="12022" width="27.140625" style="53" customWidth="1"/>
    <col min="12023" max="12023" width="16.28515625" style="53" customWidth="1"/>
    <col min="12024" max="12024" width="13.85546875" style="53" customWidth="1"/>
    <col min="12025" max="12267" width="9.140625" style="53"/>
    <col min="12268" max="12268" width="1.7109375" style="53" customWidth="1"/>
    <col min="12269" max="12270" width="4.7109375" style="53" customWidth="1"/>
    <col min="12271" max="12271" width="54.140625" style="53" customWidth="1"/>
    <col min="12272" max="12272" width="52" style="53" customWidth="1"/>
    <col min="12273" max="12273" width="5.28515625" style="53" customWidth="1"/>
    <col min="12274" max="12274" width="5.85546875" style="53" bestFit="1" customWidth="1"/>
    <col min="12275" max="12275" width="16.42578125" style="53" customWidth="1"/>
    <col min="12276" max="12276" width="4.5703125" style="53" customWidth="1"/>
    <col min="12277" max="12277" width="14.140625" style="53" customWidth="1"/>
    <col min="12278" max="12278" width="27.140625" style="53" customWidth="1"/>
    <col min="12279" max="12279" width="16.28515625" style="53" customWidth="1"/>
    <col min="12280" max="12280" width="13.85546875" style="53" customWidth="1"/>
    <col min="12281" max="12523" width="9.140625" style="53"/>
    <col min="12524" max="12524" width="1.7109375" style="53" customWidth="1"/>
    <col min="12525" max="12526" width="4.7109375" style="53" customWidth="1"/>
    <col min="12527" max="12527" width="54.140625" style="53" customWidth="1"/>
    <col min="12528" max="12528" width="52" style="53" customWidth="1"/>
    <col min="12529" max="12529" width="5.28515625" style="53" customWidth="1"/>
    <col min="12530" max="12530" width="5.85546875" style="53" bestFit="1" customWidth="1"/>
    <col min="12531" max="12531" width="16.42578125" style="53" customWidth="1"/>
    <col min="12532" max="12532" width="4.5703125" style="53" customWidth="1"/>
    <col min="12533" max="12533" width="14.140625" style="53" customWidth="1"/>
    <col min="12534" max="12534" width="27.140625" style="53" customWidth="1"/>
    <col min="12535" max="12535" width="16.28515625" style="53" customWidth="1"/>
    <col min="12536" max="12536" width="13.85546875" style="53" customWidth="1"/>
    <col min="12537" max="12779" width="9.140625" style="53"/>
    <col min="12780" max="12780" width="1.7109375" style="53" customWidth="1"/>
    <col min="12781" max="12782" width="4.7109375" style="53" customWidth="1"/>
    <col min="12783" max="12783" width="54.140625" style="53" customWidth="1"/>
    <col min="12784" max="12784" width="52" style="53" customWidth="1"/>
    <col min="12785" max="12785" width="5.28515625" style="53" customWidth="1"/>
    <col min="12786" max="12786" width="5.85546875" style="53" bestFit="1" customWidth="1"/>
    <col min="12787" max="12787" width="16.42578125" style="53" customWidth="1"/>
    <col min="12788" max="12788" width="4.5703125" style="53" customWidth="1"/>
    <col min="12789" max="12789" width="14.140625" style="53" customWidth="1"/>
    <col min="12790" max="12790" width="27.140625" style="53" customWidth="1"/>
    <col min="12791" max="12791" width="16.28515625" style="53" customWidth="1"/>
    <col min="12792" max="12792" width="13.85546875" style="53" customWidth="1"/>
    <col min="12793" max="13035" width="9.140625" style="53"/>
    <col min="13036" max="13036" width="1.7109375" style="53" customWidth="1"/>
    <col min="13037" max="13038" width="4.7109375" style="53" customWidth="1"/>
    <col min="13039" max="13039" width="54.140625" style="53" customWidth="1"/>
    <col min="13040" max="13040" width="52" style="53" customWidth="1"/>
    <col min="13041" max="13041" width="5.28515625" style="53" customWidth="1"/>
    <col min="13042" max="13042" width="5.85546875" style="53" bestFit="1" customWidth="1"/>
    <col min="13043" max="13043" width="16.42578125" style="53" customWidth="1"/>
    <col min="13044" max="13044" width="4.5703125" style="53" customWidth="1"/>
    <col min="13045" max="13045" width="14.140625" style="53" customWidth="1"/>
    <col min="13046" max="13046" width="27.140625" style="53" customWidth="1"/>
    <col min="13047" max="13047" width="16.28515625" style="53" customWidth="1"/>
    <col min="13048" max="13048" width="13.85546875" style="53" customWidth="1"/>
    <col min="13049" max="13291" width="9.140625" style="53"/>
    <col min="13292" max="13292" width="1.7109375" style="53" customWidth="1"/>
    <col min="13293" max="13294" width="4.7109375" style="53" customWidth="1"/>
    <col min="13295" max="13295" width="54.140625" style="53" customWidth="1"/>
    <col min="13296" max="13296" width="52" style="53" customWidth="1"/>
    <col min="13297" max="13297" width="5.28515625" style="53" customWidth="1"/>
    <col min="13298" max="13298" width="5.85546875" style="53" bestFit="1" customWidth="1"/>
    <col min="13299" max="13299" width="16.42578125" style="53" customWidth="1"/>
    <col min="13300" max="13300" width="4.5703125" style="53" customWidth="1"/>
    <col min="13301" max="13301" width="14.140625" style="53" customWidth="1"/>
    <col min="13302" max="13302" width="27.140625" style="53" customWidth="1"/>
    <col min="13303" max="13303" width="16.28515625" style="53" customWidth="1"/>
    <col min="13304" max="13304" width="13.85546875" style="53" customWidth="1"/>
    <col min="13305" max="13547" width="9.140625" style="53"/>
    <col min="13548" max="13548" width="1.7109375" style="53" customWidth="1"/>
    <col min="13549" max="13550" width="4.7109375" style="53" customWidth="1"/>
    <col min="13551" max="13551" width="54.140625" style="53" customWidth="1"/>
    <col min="13552" max="13552" width="52" style="53" customWidth="1"/>
    <col min="13553" max="13553" width="5.28515625" style="53" customWidth="1"/>
    <col min="13554" max="13554" width="5.85546875" style="53" bestFit="1" customWidth="1"/>
    <col min="13555" max="13555" width="16.42578125" style="53" customWidth="1"/>
    <col min="13556" max="13556" width="4.5703125" style="53" customWidth="1"/>
    <col min="13557" max="13557" width="14.140625" style="53" customWidth="1"/>
    <col min="13558" max="13558" width="27.140625" style="53" customWidth="1"/>
    <col min="13559" max="13559" width="16.28515625" style="53" customWidth="1"/>
    <col min="13560" max="13560" width="13.85546875" style="53" customWidth="1"/>
    <col min="13561" max="13803" width="9.140625" style="53"/>
    <col min="13804" max="13804" width="1.7109375" style="53" customWidth="1"/>
    <col min="13805" max="13806" width="4.7109375" style="53" customWidth="1"/>
    <col min="13807" max="13807" width="54.140625" style="53" customWidth="1"/>
    <col min="13808" max="13808" width="52" style="53" customWidth="1"/>
    <col min="13809" max="13809" width="5.28515625" style="53" customWidth="1"/>
    <col min="13810" max="13810" width="5.85546875" style="53" bestFit="1" customWidth="1"/>
    <col min="13811" max="13811" width="16.42578125" style="53" customWidth="1"/>
    <col min="13812" max="13812" width="4.5703125" style="53" customWidth="1"/>
    <col min="13813" max="13813" width="14.140625" style="53" customWidth="1"/>
    <col min="13814" max="13814" width="27.140625" style="53" customWidth="1"/>
    <col min="13815" max="13815" width="16.28515625" style="53" customWidth="1"/>
    <col min="13816" max="13816" width="13.85546875" style="53" customWidth="1"/>
    <col min="13817" max="14059" width="9.140625" style="53"/>
    <col min="14060" max="14060" width="1.7109375" style="53" customWidth="1"/>
    <col min="14061" max="14062" width="4.7109375" style="53" customWidth="1"/>
    <col min="14063" max="14063" width="54.140625" style="53" customWidth="1"/>
    <col min="14064" max="14064" width="52" style="53" customWidth="1"/>
    <col min="14065" max="14065" width="5.28515625" style="53" customWidth="1"/>
    <col min="14066" max="14066" width="5.85546875" style="53" bestFit="1" customWidth="1"/>
    <col min="14067" max="14067" width="16.42578125" style="53" customWidth="1"/>
    <col min="14068" max="14068" width="4.5703125" style="53" customWidth="1"/>
    <col min="14069" max="14069" width="14.140625" style="53" customWidth="1"/>
    <col min="14070" max="14070" width="27.140625" style="53" customWidth="1"/>
    <col min="14071" max="14071" width="16.28515625" style="53" customWidth="1"/>
    <col min="14072" max="14072" width="13.85546875" style="53" customWidth="1"/>
    <col min="14073" max="14315" width="9.140625" style="53"/>
    <col min="14316" max="14316" width="1.7109375" style="53" customWidth="1"/>
    <col min="14317" max="14318" width="4.7109375" style="53" customWidth="1"/>
    <col min="14319" max="14319" width="54.140625" style="53" customWidth="1"/>
    <col min="14320" max="14320" width="52" style="53" customWidth="1"/>
    <col min="14321" max="14321" width="5.28515625" style="53" customWidth="1"/>
    <col min="14322" max="14322" width="5.85546875" style="53" bestFit="1" customWidth="1"/>
    <col min="14323" max="14323" width="16.42578125" style="53" customWidth="1"/>
    <col min="14324" max="14324" width="4.5703125" style="53" customWidth="1"/>
    <col min="14325" max="14325" width="14.140625" style="53" customWidth="1"/>
    <col min="14326" max="14326" width="27.140625" style="53" customWidth="1"/>
    <col min="14327" max="14327" width="16.28515625" style="53" customWidth="1"/>
    <col min="14328" max="14328" width="13.85546875" style="53" customWidth="1"/>
    <col min="14329" max="14571" width="9.140625" style="53"/>
    <col min="14572" max="14572" width="1.7109375" style="53" customWidth="1"/>
    <col min="14573" max="14574" width="4.7109375" style="53" customWidth="1"/>
    <col min="14575" max="14575" width="54.140625" style="53" customWidth="1"/>
    <col min="14576" max="14576" width="52" style="53" customWidth="1"/>
    <col min="14577" max="14577" width="5.28515625" style="53" customWidth="1"/>
    <col min="14578" max="14578" width="5.85546875" style="53" bestFit="1" customWidth="1"/>
    <col min="14579" max="14579" width="16.42578125" style="53" customWidth="1"/>
    <col min="14580" max="14580" width="4.5703125" style="53" customWidth="1"/>
    <col min="14581" max="14581" width="14.140625" style="53" customWidth="1"/>
    <col min="14582" max="14582" width="27.140625" style="53" customWidth="1"/>
    <col min="14583" max="14583" width="16.28515625" style="53" customWidth="1"/>
    <col min="14584" max="14584" width="13.85546875" style="53" customWidth="1"/>
    <col min="14585" max="14827" width="9.140625" style="53"/>
    <col min="14828" max="14828" width="1.7109375" style="53" customWidth="1"/>
    <col min="14829" max="14830" width="4.7109375" style="53" customWidth="1"/>
    <col min="14831" max="14831" width="54.140625" style="53" customWidth="1"/>
    <col min="14832" max="14832" width="52" style="53" customWidth="1"/>
    <col min="14833" max="14833" width="5.28515625" style="53" customWidth="1"/>
    <col min="14834" max="14834" width="5.85546875" style="53" bestFit="1" customWidth="1"/>
    <col min="14835" max="14835" width="16.42578125" style="53" customWidth="1"/>
    <col min="14836" max="14836" width="4.5703125" style="53" customWidth="1"/>
    <col min="14837" max="14837" width="14.140625" style="53" customWidth="1"/>
    <col min="14838" max="14838" width="27.140625" style="53" customWidth="1"/>
    <col min="14839" max="14839" width="16.28515625" style="53" customWidth="1"/>
    <col min="14840" max="14840" width="13.85546875" style="53" customWidth="1"/>
    <col min="14841" max="15083" width="9.140625" style="53"/>
    <col min="15084" max="15084" width="1.7109375" style="53" customWidth="1"/>
    <col min="15085" max="15086" width="4.7109375" style="53" customWidth="1"/>
    <col min="15087" max="15087" width="54.140625" style="53" customWidth="1"/>
    <col min="15088" max="15088" width="52" style="53" customWidth="1"/>
    <col min="15089" max="15089" width="5.28515625" style="53" customWidth="1"/>
    <col min="15090" max="15090" width="5.85546875" style="53" bestFit="1" customWidth="1"/>
    <col min="15091" max="15091" width="16.42578125" style="53" customWidth="1"/>
    <col min="15092" max="15092" width="4.5703125" style="53" customWidth="1"/>
    <col min="15093" max="15093" width="14.140625" style="53" customWidth="1"/>
    <col min="15094" max="15094" width="27.140625" style="53" customWidth="1"/>
    <col min="15095" max="15095" width="16.28515625" style="53" customWidth="1"/>
    <col min="15096" max="15096" width="13.85546875" style="53" customWidth="1"/>
    <col min="15097" max="15339" width="9.140625" style="53"/>
    <col min="15340" max="15340" width="1.7109375" style="53" customWidth="1"/>
    <col min="15341" max="15342" width="4.7109375" style="53" customWidth="1"/>
    <col min="15343" max="15343" width="54.140625" style="53" customWidth="1"/>
    <col min="15344" max="15344" width="52" style="53" customWidth="1"/>
    <col min="15345" max="15345" width="5.28515625" style="53" customWidth="1"/>
    <col min="15346" max="15346" width="5.85546875" style="53" bestFit="1" customWidth="1"/>
    <col min="15347" max="15347" width="16.42578125" style="53" customWidth="1"/>
    <col min="15348" max="15348" width="4.5703125" style="53" customWidth="1"/>
    <col min="15349" max="15349" width="14.140625" style="53" customWidth="1"/>
    <col min="15350" max="15350" width="27.140625" style="53" customWidth="1"/>
    <col min="15351" max="15351" width="16.28515625" style="53" customWidth="1"/>
    <col min="15352" max="15352" width="13.85546875" style="53" customWidth="1"/>
    <col min="15353" max="15595" width="9.140625" style="53"/>
    <col min="15596" max="15596" width="1.7109375" style="53" customWidth="1"/>
    <col min="15597" max="15598" width="4.7109375" style="53" customWidth="1"/>
    <col min="15599" max="15599" width="54.140625" style="53" customWidth="1"/>
    <col min="15600" max="15600" width="52" style="53" customWidth="1"/>
    <col min="15601" max="15601" width="5.28515625" style="53" customWidth="1"/>
    <col min="15602" max="15602" width="5.85546875" style="53" bestFit="1" customWidth="1"/>
    <col min="15603" max="15603" width="16.42578125" style="53" customWidth="1"/>
    <col min="15604" max="15604" width="4.5703125" style="53" customWidth="1"/>
    <col min="15605" max="15605" width="14.140625" style="53" customWidth="1"/>
    <col min="15606" max="15606" width="27.140625" style="53" customWidth="1"/>
    <col min="15607" max="15607" width="16.28515625" style="53" customWidth="1"/>
    <col min="15608" max="15608" width="13.85546875" style="53" customWidth="1"/>
    <col min="15609" max="15851" width="9.140625" style="53"/>
    <col min="15852" max="15852" width="1.7109375" style="53" customWidth="1"/>
    <col min="15853" max="15854" width="4.7109375" style="53" customWidth="1"/>
    <col min="15855" max="15855" width="54.140625" style="53" customWidth="1"/>
    <col min="15856" max="15856" width="52" style="53" customWidth="1"/>
    <col min="15857" max="15857" width="5.28515625" style="53" customWidth="1"/>
    <col min="15858" max="15858" width="5.85546875" style="53" bestFit="1" customWidth="1"/>
    <col min="15859" max="15859" width="16.42578125" style="53" customWidth="1"/>
    <col min="15860" max="15860" width="4.5703125" style="53" customWidth="1"/>
    <col min="15861" max="15861" width="14.140625" style="53" customWidth="1"/>
    <col min="15862" max="15862" width="27.140625" style="53" customWidth="1"/>
    <col min="15863" max="15863" width="16.28515625" style="53" customWidth="1"/>
    <col min="15864" max="15864" width="13.85546875" style="53" customWidth="1"/>
    <col min="15865" max="16107" width="9.140625" style="53"/>
    <col min="16108" max="16108" width="1.7109375" style="53" customWidth="1"/>
    <col min="16109" max="16110" width="4.7109375" style="53" customWidth="1"/>
    <col min="16111" max="16111" width="54.140625" style="53" customWidth="1"/>
    <col min="16112" max="16112" width="52" style="53" customWidth="1"/>
    <col min="16113" max="16113" width="5.28515625" style="53" customWidth="1"/>
    <col min="16114" max="16114" width="5.85546875" style="53" bestFit="1" customWidth="1"/>
    <col min="16115" max="16115" width="16.42578125" style="53" customWidth="1"/>
    <col min="16116" max="16116" width="4.5703125" style="53" customWidth="1"/>
    <col min="16117" max="16117" width="14.140625" style="53" customWidth="1"/>
    <col min="16118" max="16118" width="27.140625" style="53" customWidth="1"/>
    <col min="16119" max="16119" width="16.28515625" style="53" customWidth="1"/>
    <col min="16120" max="16120" width="13.85546875" style="53" customWidth="1"/>
    <col min="16121" max="16384" width="9.140625" style="53"/>
  </cols>
  <sheetData>
    <row r="2" spans="2:20" s="5" customFormat="1" ht="15.75" hidden="1" x14ac:dyDescent="0.25">
      <c r="B2" s="975"/>
      <c r="C2" s="1645" t="s">
        <v>431</v>
      </c>
      <c r="D2" s="1645"/>
      <c r="E2" s="1645"/>
      <c r="F2" s="1645"/>
      <c r="G2" s="1645"/>
      <c r="H2" s="1645"/>
      <c r="I2" s="1645"/>
      <c r="J2" s="1645"/>
      <c r="K2" s="1645"/>
      <c r="L2" s="971"/>
      <c r="M2" s="971"/>
      <c r="N2" s="971"/>
      <c r="O2" s="451"/>
      <c r="P2" s="451"/>
      <c r="Q2" s="3"/>
    </row>
    <row r="3" spans="2:20" s="5" customFormat="1" ht="13.5" customHeight="1" x14ac:dyDescent="0.25">
      <c r="B3" s="975"/>
      <c r="C3" s="1646" t="s">
        <v>0</v>
      </c>
      <c r="D3" s="1646"/>
      <c r="E3" s="1646"/>
      <c r="F3" s="1646"/>
      <c r="G3" s="1646"/>
      <c r="H3" s="1646"/>
      <c r="I3" s="1646"/>
      <c r="J3" s="1646"/>
      <c r="K3" s="1646"/>
      <c r="L3" s="1646"/>
      <c r="M3" s="1646"/>
      <c r="N3" s="1646"/>
      <c r="O3" s="1646"/>
      <c r="P3" s="972"/>
      <c r="Q3" s="481"/>
    </row>
    <row r="4" spans="2:20" s="4" customFormat="1" ht="14.25" customHeight="1" x14ac:dyDescent="0.25">
      <c r="B4" s="975"/>
      <c r="C4" s="1646" t="s">
        <v>1</v>
      </c>
      <c r="D4" s="1646"/>
      <c r="E4" s="1646"/>
      <c r="F4" s="1646"/>
      <c r="G4" s="1646"/>
      <c r="H4" s="1646"/>
      <c r="I4" s="1646"/>
      <c r="J4" s="1646"/>
      <c r="K4" s="1646"/>
      <c r="L4" s="1646"/>
      <c r="M4" s="1646"/>
      <c r="N4" s="1646"/>
      <c r="O4" s="1646"/>
      <c r="P4" s="972"/>
      <c r="Q4" s="481"/>
    </row>
    <row r="5" spans="2:20" s="4" customFormat="1" ht="15.75" x14ac:dyDescent="0.25">
      <c r="B5" s="975"/>
      <c r="C5" s="452"/>
      <c r="D5" s="453"/>
      <c r="E5" s="453"/>
      <c r="F5" s="453"/>
      <c r="G5" s="454"/>
      <c r="H5" s="455"/>
      <c r="I5" s="456"/>
      <c r="J5" s="457"/>
      <c r="K5" s="457"/>
      <c r="L5" s="457"/>
      <c r="M5" s="457"/>
      <c r="N5" s="457"/>
      <c r="O5" s="458"/>
      <c r="P5" s="456"/>
      <c r="Q5" s="976"/>
    </row>
    <row r="6" spans="2:20" s="4" customFormat="1" ht="18" customHeight="1" x14ac:dyDescent="0.25">
      <c r="B6" s="975"/>
      <c r="C6" s="1647" t="s">
        <v>2</v>
      </c>
      <c r="D6" s="1647"/>
      <c r="E6" s="1505" t="s">
        <v>3</v>
      </c>
      <c r="F6" s="1505"/>
      <c r="G6" s="1505"/>
      <c r="H6" s="459"/>
      <c r="I6" s="456"/>
      <c r="J6" s="457"/>
      <c r="K6" s="457"/>
      <c r="L6" s="457"/>
      <c r="M6" s="457"/>
      <c r="N6" s="457"/>
      <c r="O6" s="458"/>
      <c r="P6" s="456"/>
      <c r="Q6" s="976"/>
    </row>
    <row r="7" spans="2:20" s="4" customFormat="1" ht="8.25" customHeight="1" thickBot="1" x14ac:dyDescent="0.3">
      <c r="B7" s="975"/>
      <c r="C7" s="6"/>
      <c r="D7" s="8"/>
      <c r="E7" s="8"/>
      <c r="F7" s="8"/>
      <c r="G7" s="9"/>
      <c r="H7" s="10"/>
      <c r="I7" s="11"/>
      <c r="J7" s="12"/>
      <c r="K7" s="12"/>
      <c r="L7" s="12"/>
      <c r="M7" s="12"/>
      <c r="N7" s="12"/>
      <c r="O7" s="7"/>
      <c r="P7" s="11"/>
      <c r="Q7" s="976"/>
    </row>
    <row r="8" spans="2:20" s="15" customFormat="1" ht="32.25" customHeight="1" thickTop="1" x14ac:dyDescent="0.25">
      <c r="B8" s="13"/>
      <c r="C8" s="1648" t="s">
        <v>433</v>
      </c>
      <c r="D8" s="1649"/>
      <c r="E8" s="1650"/>
      <c r="F8" s="1654" t="s">
        <v>418</v>
      </c>
      <c r="G8" s="1650"/>
      <c r="H8" s="1656" t="s">
        <v>417</v>
      </c>
      <c r="I8" s="1658" t="s">
        <v>419</v>
      </c>
      <c r="J8" s="1662" t="s">
        <v>502</v>
      </c>
      <c r="K8" s="1660" t="s">
        <v>488</v>
      </c>
      <c r="L8" s="1734" t="s">
        <v>510</v>
      </c>
      <c r="M8" s="1735"/>
      <c r="N8" s="987"/>
      <c r="O8" s="14"/>
      <c r="P8" s="1643" t="s">
        <v>469</v>
      </c>
      <c r="Q8" s="441" t="s">
        <v>426</v>
      </c>
      <c r="R8" s="16"/>
    </row>
    <row r="9" spans="2:20" s="15" customFormat="1" ht="36" customHeight="1" x14ac:dyDescent="0.25">
      <c r="B9" s="13"/>
      <c r="C9" s="1651"/>
      <c r="D9" s="1652"/>
      <c r="E9" s="1653"/>
      <c r="F9" s="1655"/>
      <c r="G9" s="1653"/>
      <c r="H9" s="1657"/>
      <c r="I9" s="1659"/>
      <c r="J9" s="1663"/>
      <c r="K9" s="1661"/>
      <c r="L9" s="1016" t="s">
        <v>511</v>
      </c>
      <c r="M9" s="1066" t="s">
        <v>512</v>
      </c>
      <c r="N9" s="987"/>
      <c r="O9" s="14"/>
      <c r="P9" s="1644"/>
      <c r="Q9" s="14"/>
      <c r="T9" s="17"/>
    </row>
    <row r="10" spans="2:20" s="15" customFormat="1" ht="19.5" customHeight="1" x14ac:dyDescent="0.25">
      <c r="B10" s="13"/>
      <c r="C10" s="1632">
        <v>1</v>
      </c>
      <c r="D10" s="1633"/>
      <c r="E10" s="1634"/>
      <c r="F10" s="1635">
        <v>2</v>
      </c>
      <c r="G10" s="1636"/>
      <c r="H10" s="18">
        <v>3</v>
      </c>
      <c r="I10" s="18">
        <v>4</v>
      </c>
      <c r="J10" s="607">
        <v>5</v>
      </c>
      <c r="K10" s="858">
        <v>5</v>
      </c>
      <c r="L10" s="1019"/>
      <c r="M10" s="1019"/>
      <c r="N10" s="988"/>
      <c r="O10" s="20"/>
      <c r="P10" s="507"/>
      <c r="Q10" s="20"/>
      <c r="R10" s="21">
        <v>307965438271</v>
      </c>
      <c r="T10" s="17"/>
    </row>
    <row r="11" spans="2:20" s="29" customFormat="1" ht="29.25" customHeight="1" x14ac:dyDescent="0.25">
      <c r="B11" s="13"/>
      <c r="C11" s="22"/>
      <c r="D11" s="1635" t="s">
        <v>4</v>
      </c>
      <c r="E11" s="1637"/>
      <c r="F11" s="1637"/>
      <c r="G11" s="1636"/>
      <c r="H11" s="23"/>
      <c r="I11" s="24"/>
      <c r="J11" s="608">
        <f>J12+J52</f>
        <v>271615438271</v>
      </c>
      <c r="K11" s="608">
        <f>K12+K52</f>
        <v>271615438271</v>
      </c>
      <c r="L11" s="1020"/>
      <c r="M11" s="1020"/>
      <c r="N11" s="989"/>
      <c r="O11" s="26"/>
      <c r="P11" s="508"/>
      <c r="Q11" s="485">
        <f>SUM(Q12:Q261)</f>
        <v>19915000000</v>
      </c>
      <c r="R11" s="27">
        <f>R10-K11</f>
        <v>36350000000</v>
      </c>
      <c r="S11" s="28"/>
    </row>
    <row r="12" spans="2:20" s="15" customFormat="1" ht="30" customHeight="1" x14ac:dyDescent="0.25">
      <c r="B12" s="13"/>
      <c r="C12" s="30"/>
      <c r="D12" s="1638"/>
      <c r="E12" s="1638"/>
      <c r="F12" s="1638"/>
      <c r="G12" s="1638"/>
      <c r="H12" s="1638"/>
      <c r="I12" s="1639"/>
      <c r="J12" s="609">
        <f>J13+J24+J40+J43+J46</f>
        <v>11438515300</v>
      </c>
      <c r="K12" s="609">
        <f>K13+K24+K40+K43+K46</f>
        <v>11438515300</v>
      </c>
      <c r="L12" s="1021"/>
      <c r="M12" s="1021"/>
      <c r="N12" s="990"/>
      <c r="O12" s="32"/>
      <c r="P12" s="509"/>
      <c r="Q12" s="486"/>
      <c r="R12" s="33"/>
      <c r="S12" s="17"/>
    </row>
    <row r="13" spans="2:20" s="15" customFormat="1" ht="21" customHeight="1" x14ac:dyDescent="0.25">
      <c r="B13" s="13"/>
      <c r="C13" s="34" t="s">
        <v>432</v>
      </c>
      <c r="D13" s="1640" t="s">
        <v>6</v>
      </c>
      <c r="E13" s="1641"/>
      <c r="F13" s="1641"/>
      <c r="G13" s="1642"/>
      <c r="H13" s="35" t="s">
        <v>7</v>
      </c>
      <c r="I13" s="36"/>
      <c r="J13" s="610">
        <f>J20+J15+J16+J17+J18+J21+J22+J14+J19</f>
        <v>5166573300</v>
      </c>
      <c r="K13" s="610">
        <f>K20+K15+K16+K17+K18+K21+K22+K14+K19</f>
        <v>5166573300</v>
      </c>
      <c r="L13" s="865"/>
      <c r="M13" s="865"/>
      <c r="N13" s="991"/>
      <c r="O13" s="38"/>
      <c r="P13" s="510"/>
      <c r="Q13" s="487"/>
    </row>
    <row r="14" spans="2:20" s="62" customFormat="1" ht="27.75" customHeight="1" x14ac:dyDescent="0.25">
      <c r="B14" s="59"/>
      <c r="C14" s="39"/>
      <c r="D14" s="140" t="s">
        <v>5</v>
      </c>
      <c r="E14" s="1623" t="s">
        <v>9</v>
      </c>
      <c r="F14" s="1624"/>
      <c r="G14" s="1625"/>
      <c r="H14" s="745" t="s">
        <v>497</v>
      </c>
      <c r="I14" s="746">
        <v>1</v>
      </c>
      <c r="J14" s="611">
        <v>755192500</v>
      </c>
      <c r="K14" s="611">
        <f>755192500</f>
        <v>755192500</v>
      </c>
      <c r="L14" s="1022"/>
      <c r="M14" s="1022"/>
      <c r="N14" s="44"/>
      <c r="O14" s="44"/>
      <c r="P14" s="747"/>
      <c r="Q14" s="488"/>
    </row>
    <row r="15" spans="2:20" s="62" customFormat="1" ht="26.25" customHeight="1" x14ac:dyDescent="0.25">
      <c r="B15" s="59"/>
      <c r="C15" s="39"/>
      <c r="D15" s="79" t="s">
        <v>10</v>
      </c>
      <c r="E15" s="1623" t="s">
        <v>11</v>
      </c>
      <c r="F15" s="1624"/>
      <c r="G15" s="1625"/>
      <c r="H15" s="837" t="s">
        <v>12</v>
      </c>
      <c r="I15" s="746">
        <v>1</v>
      </c>
      <c r="J15" s="612">
        <v>1921800000</v>
      </c>
      <c r="K15" s="612">
        <v>1921800000</v>
      </c>
      <c r="L15" s="1022"/>
      <c r="M15" s="1022"/>
      <c r="N15" s="44"/>
      <c r="O15" s="44"/>
      <c r="P15" s="747"/>
      <c r="Q15" s="488"/>
    </row>
    <row r="16" spans="2:20" s="62" customFormat="1" ht="26.25" customHeight="1" x14ac:dyDescent="0.25">
      <c r="B16" s="59"/>
      <c r="C16" s="39"/>
      <c r="D16" s="140" t="s">
        <v>13</v>
      </c>
      <c r="E16" s="1623" t="s">
        <v>14</v>
      </c>
      <c r="F16" s="1624"/>
      <c r="G16" s="1625"/>
      <c r="H16" s="837" t="s">
        <v>15</v>
      </c>
      <c r="I16" s="746">
        <v>1</v>
      </c>
      <c r="J16" s="612">
        <f>1968500000-21419200</f>
        <v>1947080800</v>
      </c>
      <c r="K16" s="612">
        <f>1968500000-21419200</f>
        <v>1947080800</v>
      </c>
      <c r="L16" s="1022"/>
      <c r="M16" s="1022"/>
      <c r="N16" s="44"/>
      <c r="O16" s="44"/>
      <c r="P16" s="747"/>
      <c r="Q16" s="488"/>
    </row>
    <row r="17" spans="2:18" s="62" customFormat="1" ht="20.25" customHeight="1" x14ac:dyDescent="0.25">
      <c r="B17" s="59"/>
      <c r="C17" s="39"/>
      <c r="D17" s="140" t="s">
        <v>16</v>
      </c>
      <c r="E17" s="1623" t="s">
        <v>17</v>
      </c>
      <c r="F17" s="1624"/>
      <c r="G17" s="1625"/>
      <c r="H17" s="837" t="s">
        <v>18</v>
      </c>
      <c r="I17" s="746">
        <v>1</v>
      </c>
      <c r="J17" s="612">
        <v>200000000</v>
      </c>
      <c r="K17" s="612">
        <v>200000000</v>
      </c>
      <c r="L17" s="1022"/>
      <c r="M17" s="1022"/>
      <c r="N17" s="44"/>
      <c r="O17" s="44"/>
      <c r="P17" s="747"/>
      <c r="Q17" s="488"/>
    </row>
    <row r="18" spans="2:18" s="62" customFormat="1" ht="20.25" customHeight="1" x14ac:dyDescent="0.25">
      <c r="B18" s="59"/>
      <c r="C18" s="39"/>
      <c r="D18" s="140" t="s">
        <v>19</v>
      </c>
      <c r="E18" s="1623" t="s">
        <v>20</v>
      </c>
      <c r="F18" s="1624"/>
      <c r="G18" s="1625"/>
      <c r="H18" s="837" t="s">
        <v>21</v>
      </c>
      <c r="I18" s="746">
        <v>1</v>
      </c>
      <c r="J18" s="612">
        <f>238307500-65807500</f>
        <v>172500000</v>
      </c>
      <c r="K18" s="612">
        <f>238307500-65807500</f>
        <v>172500000</v>
      </c>
      <c r="L18" s="1022"/>
      <c r="M18" s="1022"/>
      <c r="N18" s="44"/>
      <c r="O18" s="44"/>
      <c r="P18" s="747"/>
      <c r="Q18" s="488"/>
    </row>
    <row r="19" spans="2:18" s="62" customFormat="1" ht="28.5" customHeight="1" x14ac:dyDescent="0.25">
      <c r="B19" s="59"/>
      <c r="C19" s="39"/>
      <c r="D19" s="140" t="s">
        <v>27</v>
      </c>
      <c r="E19" s="1629" t="s">
        <v>23</v>
      </c>
      <c r="F19" s="1630"/>
      <c r="G19" s="1631"/>
      <c r="H19" s="843" t="s">
        <v>24</v>
      </c>
      <c r="I19" s="746">
        <v>1</v>
      </c>
      <c r="J19" s="612">
        <v>100000000</v>
      </c>
      <c r="K19" s="612">
        <v>100000000</v>
      </c>
      <c r="L19" s="1022"/>
      <c r="M19" s="1022"/>
      <c r="N19" s="44"/>
      <c r="O19" s="44"/>
      <c r="P19" s="747"/>
      <c r="Q19" s="488"/>
    </row>
    <row r="20" spans="2:18" s="62" customFormat="1" ht="44.25" customHeight="1" x14ac:dyDescent="0.25">
      <c r="B20" s="59"/>
      <c r="C20" s="49"/>
      <c r="D20" s="79" t="s">
        <v>30</v>
      </c>
      <c r="E20" s="1623" t="s">
        <v>25</v>
      </c>
      <c r="F20" s="1624"/>
      <c r="G20" s="1625"/>
      <c r="H20" s="80" t="s">
        <v>26</v>
      </c>
      <c r="I20" s="81">
        <v>1</v>
      </c>
      <c r="J20" s="613">
        <v>10000000</v>
      </c>
      <c r="K20" s="613">
        <v>10000000</v>
      </c>
      <c r="L20" s="1022"/>
      <c r="M20" s="1022"/>
      <c r="N20" s="44"/>
      <c r="O20" s="44"/>
      <c r="P20" s="844"/>
      <c r="Q20" s="488"/>
    </row>
    <row r="21" spans="2:18" s="62" customFormat="1" ht="27" customHeight="1" x14ac:dyDescent="0.25">
      <c r="B21" s="59"/>
      <c r="C21" s="39"/>
      <c r="D21" s="140" t="s">
        <v>8</v>
      </c>
      <c r="E21" s="1623" t="s">
        <v>28</v>
      </c>
      <c r="F21" s="1624"/>
      <c r="G21" s="1625"/>
      <c r="H21" s="837" t="s">
        <v>29</v>
      </c>
      <c r="I21" s="746">
        <v>1</v>
      </c>
      <c r="J21" s="612">
        <f>40000000-10000000</f>
        <v>30000000</v>
      </c>
      <c r="K21" s="612">
        <f>40000000-10000000</f>
        <v>30000000</v>
      </c>
      <c r="L21" s="1022"/>
      <c r="M21" s="1022"/>
      <c r="N21" s="44"/>
      <c r="O21" s="44"/>
      <c r="P21" s="747"/>
      <c r="Q21" s="488"/>
    </row>
    <row r="22" spans="2:18" s="62" customFormat="1" ht="27" customHeight="1" x14ac:dyDescent="0.25">
      <c r="B22" s="59"/>
      <c r="C22" s="39"/>
      <c r="D22" s="140" t="s">
        <v>22</v>
      </c>
      <c r="E22" s="1623" t="s">
        <v>31</v>
      </c>
      <c r="F22" s="1624"/>
      <c r="G22" s="1625"/>
      <c r="H22" s="837" t="s">
        <v>32</v>
      </c>
      <c r="I22" s="746">
        <v>1</v>
      </c>
      <c r="J22" s="612">
        <f>30000000</f>
        <v>30000000</v>
      </c>
      <c r="K22" s="612">
        <f>30000000</f>
        <v>30000000</v>
      </c>
      <c r="L22" s="1022"/>
      <c r="M22" s="1022"/>
      <c r="N22" s="44"/>
      <c r="O22" s="44"/>
      <c r="P22" s="747"/>
      <c r="Q22" s="488"/>
    </row>
    <row r="23" spans="2:18" s="62" customFormat="1" ht="3.75" customHeight="1" x14ac:dyDescent="0.25">
      <c r="B23" s="59"/>
      <c r="C23" s="766"/>
      <c r="D23" s="759"/>
      <c r="E23" s="845"/>
      <c r="F23" s="1611"/>
      <c r="G23" s="1612"/>
      <c r="H23" s="846"/>
      <c r="I23" s="847"/>
      <c r="J23" s="611"/>
      <c r="K23" s="611"/>
      <c r="L23" s="1022"/>
      <c r="M23" s="1022"/>
      <c r="N23" s="44"/>
      <c r="O23" s="44"/>
      <c r="P23" s="848"/>
      <c r="Q23" s="488"/>
    </row>
    <row r="24" spans="2:18" s="62" customFormat="1" ht="26.25" customHeight="1" x14ac:dyDescent="0.25">
      <c r="B24" s="59"/>
      <c r="C24" s="849" t="s">
        <v>434</v>
      </c>
      <c r="D24" s="1626" t="s">
        <v>35</v>
      </c>
      <c r="E24" s="1627"/>
      <c r="F24" s="1627"/>
      <c r="G24" s="1628"/>
      <c r="H24" s="721" t="s">
        <v>36</v>
      </c>
      <c r="I24" s="850"/>
      <c r="J24" s="722">
        <f>J25+J26+J27+J28+J29+J33+J36+J37+J38</f>
        <v>4220250000</v>
      </c>
      <c r="K24" s="722">
        <f>K25+K26+K27+K28+K29+K33+K36+K37+K38</f>
        <v>4220250000</v>
      </c>
      <c r="L24" s="1023"/>
      <c r="M24" s="1023"/>
      <c r="N24" s="38"/>
      <c r="O24" s="38"/>
      <c r="P24" s="724"/>
      <c r="Q24" s="487"/>
    </row>
    <row r="25" spans="2:18" s="62" customFormat="1" ht="21" customHeight="1" x14ac:dyDescent="0.25">
      <c r="B25" s="59"/>
      <c r="C25" s="39"/>
      <c r="D25" s="140" t="s">
        <v>5</v>
      </c>
      <c r="E25" s="1529" t="s">
        <v>37</v>
      </c>
      <c r="F25" s="1622"/>
      <c r="G25" s="1530"/>
      <c r="H25" s="970" t="s">
        <v>38</v>
      </c>
      <c r="I25" s="746">
        <v>1</v>
      </c>
      <c r="J25" s="611">
        <v>350000000</v>
      </c>
      <c r="K25" s="611">
        <v>350000000</v>
      </c>
      <c r="L25" s="1022"/>
      <c r="M25" s="1022"/>
      <c r="N25" s="44"/>
      <c r="O25" s="44"/>
      <c r="P25" s="747"/>
      <c r="Q25" s="488"/>
    </row>
    <row r="26" spans="2:18" s="62" customFormat="1" ht="21" customHeight="1" x14ac:dyDescent="0.25">
      <c r="B26" s="59"/>
      <c r="C26" s="39"/>
      <c r="D26" s="140" t="s">
        <v>10</v>
      </c>
      <c r="E26" s="1529" t="s">
        <v>485</v>
      </c>
      <c r="F26" s="1622"/>
      <c r="G26" s="1530"/>
      <c r="H26" s="970" t="s">
        <v>39</v>
      </c>
      <c r="I26" s="746">
        <v>1</v>
      </c>
      <c r="J26" s="611">
        <v>452890000</v>
      </c>
      <c r="K26" s="611">
        <f>452890000</f>
        <v>452890000</v>
      </c>
      <c r="L26" s="1022"/>
      <c r="M26" s="1022"/>
      <c r="N26" s="44"/>
      <c r="O26" s="44"/>
      <c r="P26" s="747"/>
      <c r="Q26" s="488"/>
    </row>
    <row r="27" spans="2:18" s="62" customFormat="1" ht="21" customHeight="1" x14ac:dyDescent="0.25">
      <c r="B27" s="59"/>
      <c r="C27" s="39"/>
      <c r="D27" s="140" t="s">
        <v>13</v>
      </c>
      <c r="E27" s="1529" t="s">
        <v>40</v>
      </c>
      <c r="F27" s="1622"/>
      <c r="G27" s="1530"/>
      <c r="H27" s="970" t="s">
        <v>41</v>
      </c>
      <c r="I27" s="746">
        <v>1</v>
      </c>
      <c r="J27" s="612">
        <f>600000000</f>
        <v>600000000</v>
      </c>
      <c r="K27" s="612">
        <f>600000000</f>
        <v>600000000</v>
      </c>
      <c r="L27" s="1022"/>
      <c r="M27" s="1022"/>
      <c r="N27" s="44"/>
      <c r="O27" s="44"/>
      <c r="P27" s="747"/>
      <c r="Q27" s="488"/>
    </row>
    <row r="28" spans="2:18" s="62" customFormat="1" ht="31.5" customHeight="1" x14ac:dyDescent="0.25">
      <c r="B28" s="59"/>
      <c r="C28" s="766"/>
      <c r="D28" s="759" t="s">
        <v>16</v>
      </c>
      <c r="E28" s="1529" t="s">
        <v>42</v>
      </c>
      <c r="F28" s="1622"/>
      <c r="G28" s="1530"/>
      <c r="H28" s="970" t="s">
        <v>43</v>
      </c>
      <c r="I28" s="746">
        <v>1</v>
      </c>
      <c r="J28" s="611">
        <v>243360000</v>
      </c>
      <c r="K28" s="611">
        <v>243360000</v>
      </c>
      <c r="L28" s="1022"/>
      <c r="M28" s="1022"/>
      <c r="N28" s="44"/>
      <c r="O28" s="44"/>
      <c r="P28" s="747"/>
      <c r="Q28" s="488"/>
    </row>
    <row r="29" spans="2:18" s="62" customFormat="1" ht="31.5" customHeight="1" x14ac:dyDescent="0.25">
      <c r="B29" s="59"/>
      <c r="C29" s="39"/>
      <c r="D29" s="140" t="s">
        <v>19</v>
      </c>
      <c r="E29" s="1618" t="s">
        <v>44</v>
      </c>
      <c r="F29" s="1619"/>
      <c r="G29" s="1620"/>
      <c r="H29" s="748" t="s">
        <v>45</v>
      </c>
      <c r="I29" s="746">
        <v>1</v>
      </c>
      <c r="J29" s="660">
        <f>SUM(J30:J32)</f>
        <v>210000000</v>
      </c>
      <c r="K29" s="660">
        <f>SUM(K30:K32)</f>
        <v>210000000</v>
      </c>
      <c r="L29" s="1024"/>
      <c r="M29" s="1024"/>
      <c r="N29" s="61"/>
      <c r="O29" s="61"/>
      <c r="P29" s="747"/>
      <c r="Q29" s="489"/>
      <c r="R29" s="63"/>
    </row>
    <row r="30" spans="2:18" s="62" customFormat="1" ht="26.25" customHeight="1" x14ac:dyDescent="0.25">
      <c r="B30" s="59"/>
      <c r="C30" s="39"/>
      <c r="D30" s="140"/>
      <c r="E30" s="838" t="s">
        <v>46</v>
      </c>
      <c r="F30" s="1616" t="s">
        <v>47</v>
      </c>
      <c r="G30" s="1617"/>
      <c r="H30" s="969" t="s">
        <v>48</v>
      </c>
      <c r="I30" s="137"/>
      <c r="J30" s="616">
        <v>200000000</v>
      </c>
      <c r="K30" s="616">
        <v>200000000</v>
      </c>
      <c r="L30" s="1025"/>
      <c r="M30" s="1025"/>
      <c r="N30" s="67"/>
      <c r="O30" s="67"/>
      <c r="P30" s="519"/>
      <c r="Q30" s="490"/>
      <c r="R30" s="63"/>
    </row>
    <row r="31" spans="2:18" s="62" customFormat="1" ht="25.5" customHeight="1" x14ac:dyDescent="0.25">
      <c r="B31" s="59"/>
      <c r="C31" s="39"/>
      <c r="D31" s="140"/>
      <c r="E31" s="838" t="s">
        <v>46</v>
      </c>
      <c r="F31" s="1616" t="s">
        <v>49</v>
      </c>
      <c r="G31" s="1617"/>
      <c r="H31" s="969" t="s">
        <v>50</v>
      </c>
      <c r="I31" s="137"/>
      <c r="J31" s="616">
        <v>10000000</v>
      </c>
      <c r="K31" s="616">
        <v>10000000</v>
      </c>
      <c r="L31" s="1025"/>
      <c r="M31" s="1025"/>
      <c r="N31" s="67"/>
      <c r="O31" s="67"/>
      <c r="P31" s="519"/>
      <c r="Q31" s="490"/>
      <c r="R31" s="63"/>
    </row>
    <row r="32" spans="2:18" s="62" customFormat="1" ht="14.25" hidden="1" customHeight="1" x14ac:dyDescent="0.25">
      <c r="B32" s="59"/>
      <c r="C32" s="39"/>
      <c r="D32" s="140"/>
      <c r="E32" s="838" t="s">
        <v>46</v>
      </c>
      <c r="F32" s="1616" t="s">
        <v>482</v>
      </c>
      <c r="G32" s="1617"/>
      <c r="H32" s="969" t="s">
        <v>483</v>
      </c>
      <c r="I32" s="137"/>
      <c r="J32" s="616"/>
      <c r="K32" s="616"/>
      <c r="L32" s="1025"/>
      <c r="M32" s="1025"/>
      <c r="N32" s="67"/>
      <c r="O32" s="67"/>
      <c r="P32" s="519"/>
      <c r="Q32" s="490"/>
      <c r="R32" s="63"/>
    </row>
    <row r="33" spans="2:18" s="62" customFormat="1" ht="26.25" customHeight="1" x14ac:dyDescent="0.25">
      <c r="B33" s="59"/>
      <c r="C33" s="39"/>
      <c r="D33" s="140" t="s">
        <v>27</v>
      </c>
      <c r="E33" s="1618" t="s">
        <v>51</v>
      </c>
      <c r="F33" s="1619"/>
      <c r="G33" s="1620"/>
      <c r="H33" s="840" t="s">
        <v>53</v>
      </c>
      <c r="I33" s="746">
        <v>1</v>
      </c>
      <c r="J33" s="617">
        <f>SUM(J34:J35)</f>
        <v>950000000</v>
      </c>
      <c r="K33" s="617">
        <f>SUM(K34:K35)</f>
        <v>950000000</v>
      </c>
      <c r="L33" s="1024"/>
      <c r="M33" s="1024"/>
      <c r="N33" s="61"/>
      <c r="O33" s="61"/>
      <c r="P33" s="747"/>
      <c r="Q33" s="489"/>
      <c r="R33" s="63"/>
    </row>
    <row r="34" spans="2:18" s="62" customFormat="1" ht="27.75" customHeight="1" x14ac:dyDescent="0.25">
      <c r="B34" s="59"/>
      <c r="C34" s="39"/>
      <c r="D34" s="140"/>
      <c r="E34" s="838" t="s">
        <v>46</v>
      </c>
      <c r="F34" s="1616" t="s">
        <v>52</v>
      </c>
      <c r="G34" s="1617"/>
      <c r="H34" s="969" t="s">
        <v>53</v>
      </c>
      <c r="I34" s="841"/>
      <c r="J34" s="618">
        <v>915000000</v>
      </c>
      <c r="K34" s="618">
        <v>915000000</v>
      </c>
      <c r="L34" s="1025"/>
      <c r="M34" s="1025"/>
      <c r="N34" s="67"/>
      <c r="O34" s="67"/>
      <c r="P34" s="842"/>
      <c r="Q34" s="490"/>
      <c r="R34" s="63"/>
    </row>
    <row r="35" spans="2:18" s="62" customFormat="1" ht="27" customHeight="1" x14ac:dyDescent="0.25">
      <c r="B35" s="59"/>
      <c r="C35" s="39"/>
      <c r="D35" s="140"/>
      <c r="E35" s="838" t="s">
        <v>46</v>
      </c>
      <c r="F35" s="1616" t="s">
        <v>54</v>
      </c>
      <c r="G35" s="1617"/>
      <c r="H35" s="969" t="s">
        <v>55</v>
      </c>
      <c r="I35" s="137"/>
      <c r="J35" s="618">
        <v>35000000</v>
      </c>
      <c r="K35" s="618">
        <v>35000000</v>
      </c>
      <c r="L35" s="1025"/>
      <c r="M35" s="1025"/>
      <c r="N35" s="67"/>
      <c r="O35" s="67"/>
      <c r="P35" s="519"/>
      <c r="Q35" s="490"/>
      <c r="R35" s="63"/>
    </row>
    <row r="36" spans="2:18" s="62" customFormat="1" ht="26.25" customHeight="1" x14ac:dyDescent="0.25">
      <c r="B36" s="59"/>
      <c r="C36" s="39"/>
      <c r="D36" s="140" t="s">
        <v>30</v>
      </c>
      <c r="E36" s="1621" t="s">
        <v>56</v>
      </c>
      <c r="F36" s="1621"/>
      <c r="G36" s="1621"/>
      <c r="H36" s="74" t="s">
        <v>57</v>
      </c>
      <c r="I36" s="746">
        <v>1</v>
      </c>
      <c r="J36" s="612">
        <v>150000000</v>
      </c>
      <c r="K36" s="612">
        <v>150000000</v>
      </c>
      <c r="L36" s="1022"/>
      <c r="M36" s="1022"/>
      <c r="N36" s="44"/>
      <c r="O36" s="44"/>
      <c r="P36" s="747"/>
      <c r="Q36" s="488"/>
    </row>
    <row r="37" spans="2:18" s="62" customFormat="1" ht="21" customHeight="1" x14ac:dyDescent="0.25">
      <c r="B37" s="59"/>
      <c r="C37" s="39"/>
      <c r="D37" s="140" t="s">
        <v>8</v>
      </c>
      <c r="E37" s="1621" t="s">
        <v>58</v>
      </c>
      <c r="F37" s="1621"/>
      <c r="G37" s="1621"/>
      <c r="H37" s="970" t="s">
        <v>34</v>
      </c>
      <c r="I37" s="746">
        <v>1</v>
      </c>
      <c r="J37" s="612">
        <v>164000000</v>
      </c>
      <c r="K37" s="612">
        <v>164000000</v>
      </c>
      <c r="L37" s="1022"/>
      <c r="M37" s="1022"/>
      <c r="N37" s="44"/>
      <c r="O37" s="44"/>
      <c r="P37" s="747"/>
      <c r="Q37" s="488"/>
    </row>
    <row r="38" spans="2:18" s="229" customFormat="1" ht="26.25" customHeight="1" x14ac:dyDescent="0.25">
      <c r="B38" s="59"/>
      <c r="C38" s="39"/>
      <c r="D38" s="140" t="s">
        <v>22</v>
      </c>
      <c r="E38" s="1608" t="s">
        <v>33</v>
      </c>
      <c r="F38" s="1609"/>
      <c r="G38" s="1610"/>
      <c r="H38" s="811" t="s">
        <v>498</v>
      </c>
      <c r="I38" s="81">
        <v>1</v>
      </c>
      <c r="J38" s="613">
        <f>200000000+900000000</f>
        <v>1100000000</v>
      </c>
      <c r="K38" s="613">
        <f>200000000+900000000</f>
        <v>1100000000</v>
      </c>
      <c r="L38" s="1022"/>
      <c r="M38" s="1022"/>
      <c r="N38" s="44"/>
      <c r="O38" s="44"/>
      <c r="P38" s="549"/>
      <c r="Q38" s="488"/>
    </row>
    <row r="39" spans="2:18" s="62" customFormat="1" ht="3.75" customHeight="1" x14ac:dyDescent="0.25">
      <c r="B39" s="59"/>
      <c r="C39" s="766"/>
      <c r="D39" s="759"/>
      <c r="E39" s="851"/>
      <c r="F39" s="1611"/>
      <c r="G39" s="1612"/>
      <c r="H39" s="846"/>
      <c r="I39" s="847"/>
      <c r="J39" s="611"/>
      <c r="K39" s="611"/>
      <c r="L39" s="1022"/>
      <c r="M39" s="1022"/>
      <c r="N39" s="44"/>
      <c r="O39" s="44"/>
      <c r="P39" s="852"/>
      <c r="Q39" s="488"/>
    </row>
    <row r="40" spans="2:18" s="15" customFormat="1" ht="23.25" customHeight="1" x14ac:dyDescent="0.25">
      <c r="B40" s="13"/>
      <c r="C40" s="34" t="s">
        <v>435</v>
      </c>
      <c r="D40" s="1599" t="s">
        <v>59</v>
      </c>
      <c r="E40" s="1600"/>
      <c r="F40" s="1600"/>
      <c r="G40" s="1601"/>
      <c r="H40" s="35" t="s">
        <v>60</v>
      </c>
      <c r="I40" s="36"/>
      <c r="J40" s="610">
        <f>SUM(J41)</f>
        <v>329692000</v>
      </c>
      <c r="K40" s="610">
        <f>SUM(K41)</f>
        <v>329692000</v>
      </c>
      <c r="L40" s="865"/>
      <c r="M40" s="865"/>
      <c r="N40" s="991"/>
      <c r="O40" s="38"/>
      <c r="P40" s="547"/>
      <c r="Q40" s="487"/>
    </row>
    <row r="41" spans="2:18" s="29" customFormat="1" ht="19.5" customHeight="1" x14ac:dyDescent="0.25">
      <c r="B41" s="13"/>
      <c r="C41" s="76"/>
      <c r="D41" s="77" t="s">
        <v>5</v>
      </c>
      <c r="E41" s="1602" t="s">
        <v>61</v>
      </c>
      <c r="F41" s="1603"/>
      <c r="G41" s="1604"/>
      <c r="H41" s="50" t="s">
        <v>62</v>
      </c>
      <c r="I41" s="51">
        <v>1</v>
      </c>
      <c r="J41" s="613">
        <f>347700000-18008000</f>
        <v>329692000</v>
      </c>
      <c r="K41" s="613">
        <f>347700000-18008000</f>
        <v>329692000</v>
      </c>
      <c r="L41" s="1022"/>
      <c r="M41" s="1022"/>
      <c r="N41" s="44"/>
      <c r="O41" s="44"/>
      <c r="P41" s="545"/>
      <c r="Q41" s="488"/>
    </row>
    <row r="42" spans="2:18" s="29" customFormat="1" ht="3.75" customHeight="1" x14ac:dyDescent="0.25">
      <c r="B42" s="13"/>
      <c r="C42" s="91"/>
      <c r="D42" s="92"/>
      <c r="E42" s="1613"/>
      <c r="F42" s="1614"/>
      <c r="G42" s="1615"/>
      <c r="H42" s="93"/>
      <c r="I42" s="470"/>
      <c r="J42" s="619"/>
      <c r="K42" s="619"/>
      <c r="L42" s="1026"/>
      <c r="M42" s="1026"/>
      <c r="N42" s="992"/>
      <c r="O42" s="44"/>
      <c r="P42" s="548"/>
      <c r="Q42" s="488"/>
    </row>
    <row r="43" spans="2:18" s="15" customFormat="1" ht="22.5" customHeight="1" x14ac:dyDescent="0.25">
      <c r="B43" s="13"/>
      <c r="C43" s="34" t="s">
        <v>436</v>
      </c>
      <c r="D43" s="1599" t="s">
        <v>63</v>
      </c>
      <c r="E43" s="1600"/>
      <c r="F43" s="1600"/>
      <c r="G43" s="1601"/>
      <c r="H43" s="35" t="s">
        <v>64</v>
      </c>
      <c r="I43" s="36"/>
      <c r="J43" s="610">
        <f>J44</f>
        <v>250000000</v>
      </c>
      <c r="K43" s="610">
        <f>K44</f>
        <v>250000000</v>
      </c>
      <c r="L43" s="865"/>
      <c r="M43" s="865"/>
      <c r="N43" s="991"/>
      <c r="O43" s="38"/>
      <c r="P43" s="547"/>
      <c r="Q43" s="487"/>
    </row>
    <row r="44" spans="2:18" s="82" customFormat="1" ht="34.5" customHeight="1" x14ac:dyDescent="0.25">
      <c r="B44" s="59"/>
      <c r="C44" s="78"/>
      <c r="D44" s="79" t="s">
        <v>5</v>
      </c>
      <c r="E44" s="1593" t="s">
        <v>65</v>
      </c>
      <c r="F44" s="1594"/>
      <c r="G44" s="1595"/>
      <c r="H44" s="80" t="s">
        <v>66</v>
      </c>
      <c r="I44" s="81">
        <v>1</v>
      </c>
      <c r="J44" s="613">
        <f>300000000-50000000</f>
        <v>250000000</v>
      </c>
      <c r="K44" s="613">
        <f>300000000-50000000</f>
        <v>250000000</v>
      </c>
      <c r="L44" s="1022"/>
      <c r="M44" s="1022"/>
      <c r="N44" s="44"/>
      <c r="O44" s="44"/>
      <c r="P44" s="549"/>
      <c r="Q44" s="488"/>
    </row>
    <row r="45" spans="2:18" s="15" customFormat="1" ht="7.5" customHeight="1" x14ac:dyDescent="0.25">
      <c r="B45" s="13"/>
      <c r="C45" s="83"/>
      <c r="D45" s="84"/>
      <c r="E45" s="1596"/>
      <c r="F45" s="1597"/>
      <c r="G45" s="1598"/>
      <c r="H45" s="41"/>
      <c r="I45" s="57"/>
      <c r="J45" s="614"/>
      <c r="K45" s="614"/>
      <c r="L45" s="1026"/>
      <c r="M45" s="1026"/>
      <c r="N45" s="992"/>
      <c r="O45" s="44"/>
      <c r="P45" s="546"/>
      <c r="Q45" s="488"/>
    </row>
    <row r="46" spans="2:18" s="15" customFormat="1" ht="33" customHeight="1" x14ac:dyDescent="0.25">
      <c r="B46" s="13"/>
      <c r="C46" s="34" t="s">
        <v>437</v>
      </c>
      <c r="D46" s="1599" t="s">
        <v>67</v>
      </c>
      <c r="E46" s="1600"/>
      <c r="F46" s="1600"/>
      <c r="G46" s="1601"/>
      <c r="H46" s="35" t="s">
        <v>68</v>
      </c>
      <c r="I46" s="36"/>
      <c r="J46" s="610">
        <f>SUM(J47:J50)</f>
        <v>1472000000</v>
      </c>
      <c r="K46" s="610">
        <f>SUM(K47:K50)</f>
        <v>1472000000</v>
      </c>
      <c r="L46" s="865"/>
      <c r="M46" s="865"/>
      <c r="N46" s="991"/>
      <c r="O46" s="38"/>
      <c r="P46" s="547"/>
      <c r="Q46" s="487"/>
    </row>
    <row r="47" spans="2:18" s="29" customFormat="1" ht="16.5" customHeight="1" x14ac:dyDescent="0.25">
      <c r="B47" s="13"/>
      <c r="C47" s="54"/>
      <c r="D47" s="55" t="s">
        <v>5</v>
      </c>
      <c r="E47" s="1602" t="s">
        <v>69</v>
      </c>
      <c r="F47" s="1603"/>
      <c r="G47" s="1604"/>
      <c r="H47" s="41" t="s">
        <v>466</v>
      </c>
      <c r="I47" s="85">
        <v>1</v>
      </c>
      <c r="J47" s="614">
        <v>300000000</v>
      </c>
      <c r="K47" s="614">
        <v>300000000</v>
      </c>
      <c r="L47" s="1026"/>
      <c r="M47" s="1026"/>
      <c r="N47" s="992"/>
      <c r="O47" s="44"/>
      <c r="P47" s="550"/>
      <c r="Q47" s="488"/>
    </row>
    <row r="48" spans="2:18" s="29" customFormat="1" ht="16.5" customHeight="1" x14ac:dyDescent="0.25">
      <c r="B48" s="13"/>
      <c r="C48" s="54"/>
      <c r="D48" s="55" t="s">
        <v>10</v>
      </c>
      <c r="E48" s="1584" t="s">
        <v>70</v>
      </c>
      <c r="F48" s="1585"/>
      <c r="G48" s="1586"/>
      <c r="H48" s="46" t="s">
        <v>71</v>
      </c>
      <c r="I48" s="42">
        <v>1</v>
      </c>
      <c r="J48" s="620">
        <v>350000000</v>
      </c>
      <c r="K48" s="620">
        <v>350000000</v>
      </c>
      <c r="L48" s="1026"/>
      <c r="M48" s="1026"/>
      <c r="N48" s="992"/>
      <c r="O48" s="44"/>
      <c r="P48" s="551"/>
      <c r="Q48" s="488"/>
    </row>
    <row r="49" spans="2:19" s="29" customFormat="1" ht="16.5" customHeight="1" x14ac:dyDescent="0.25">
      <c r="B49" s="13"/>
      <c r="C49" s="87"/>
      <c r="D49" s="88" t="s">
        <v>13</v>
      </c>
      <c r="E49" s="1605" t="s">
        <v>72</v>
      </c>
      <c r="F49" s="1606"/>
      <c r="G49" s="1607"/>
      <c r="H49" s="46" t="s">
        <v>73</v>
      </c>
      <c r="I49" s="42">
        <v>1</v>
      </c>
      <c r="J49" s="612">
        <f>722000000</f>
        <v>722000000</v>
      </c>
      <c r="K49" s="612">
        <f>722000000</f>
        <v>722000000</v>
      </c>
      <c r="L49" s="1022"/>
      <c r="M49" s="1022"/>
      <c r="N49" s="44"/>
      <c r="O49" s="44"/>
      <c r="P49" s="551"/>
      <c r="Q49" s="488"/>
    </row>
    <row r="50" spans="2:19" s="29" customFormat="1" ht="28.5" customHeight="1" x14ac:dyDescent="0.25">
      <c r="B50" s="13"/>
      <c r="C50" s="76"/>
      <c r="D50" s="89" t="s">
        <v>16</v>
      </c>
      <c r="E50" s="1584" t="s">
        <v>74</v>
      </c>
      <c r="F50" s="1585"/>
      <c r="G50" s="1586"/>
      <c r="H50" s="50" t="s">
        <v>467</v>
      </c>
      <c r="I50" s="51">
        <v>1</v>
      </c>
      <c r="J50" s="621">
        <v>100000000</v>
      </c>
      <c r="K50" s="621">
        <v>100000000</v>
      </c>
      <c r="L50" s="1026"/>
      <c r="M50" s="1026"/>
      <c r="N50" s="992"/>
      <c r="O50" s="44"/>
      <c r="P50" s="545"/>
      <c r="Q50" s="488"/>
    </row>
    <row r="51" spans="2:19" ht="3.75" customHeight="1" x14ac:dyDescent="0.25">
      <c r="C51" s="95"/>
      <c r="D51" s="96"/>
      <c r="E51" s="965"/>
      <c r="F51" s="97"/>
      <c r="G51" s="966"/>
      <c r="H51" s="98"/>
      <c r="I51" s="99"/>
      <c r="J51" s="622"/>
      <c r="K51" s="622"/>
      <c r="L51" s="1027"/>
      <c r="M51" s="1027"/>
      <c r="N51" s="993"/>
      <c r="O51" s="101"/>
      <c r="P51" s="552"/>
      <c r="Q51" s="491"/>
    </row>
    <row r="52" spans="2:19" s="15" customFormat="1" ht="30" customHeight="1" x14ac:dyDescent="0.25">
      <c r="B52" s="13"/>
      <c r="C52" s="102"/>
      <c r="D52" s="1587" t="s">
        <v>75</v>
      </c>
      <c r="E52" s="1588"/>
      <c r="F52" s="1588"/>
      <c r="G52" s="1588"/>
      <c r="H52" s="1588"/>
      <c r="I52" s="1589"/>
      <c r="J52" s="623">
        <f>J53+J142+J168+J173+J181+J222+J226+J230+J237+J253+J259</f>
        <v>260176922971</v>
      </c>
      <c r="K52" s="623">
        <f>K53+K142+K168+K173+K181+K222+K226+K230+K237+K253+K259</f>
        <v>260176922971</v>
      </c>
      <c r="L52" s="1028"/>
      <c r="M52" s="1028"/>
      <c r="N52" s="994"/>
      <c r="O52" s="104"/>
      <c r="P52" s="593"/>
      <c r="Q52" s="14"/>
    </row>
    <row r="53" spans="2:19" s="15" customFormat="1" ht="32.25" customHeight="1" x14ac:dyDescent="0.25">
      <c r="B53" s="13"/>
      <c r="C53" s="1506" t="s">
        <v>438</v>
      </c>
      <c r="D53" s="1507"/>
      <c r="E53" s="1590" t="s">
        <v>76</v>
      </c>
      <c r="F53" s="1591"/>
      <c r="G53" s="1592"/>
      <c r="H53" s="105" t="s">
        <v>77</v>
      </c>
      <c r="I53" s="106"/>
      <c r="J53" s="624">
        <f>J54+J55+J58+J62+J65+J66+J67+J68+J90+J92+J96+J101+J111+J114+J119+J125+J127+J129+J131+J136</f>
        <v>175815000000</v>
      </c>
      <c r="K53" s="624">
        <f>K54+K55+K58+K62+K65+K66+K67+K68+K90+K92+K96+K101+K111+K114+K119+K125+K127+K129+K131+K136</f>
        <v>179015000000</v>
      </c>
      <c r="L53" s="879"/>
      <c r="M53" s="879"/>
      <c r="N53" s="995"/>
      <c r="O53" s="108"/>
      <c r="P53" s="515"/>
      <c r="Q53" s="108"/>
      <c r="R53" s="16">
        <v>1100000000</v>
      </c>
      <c r="S53" s="21">
        <v>172915000000</v>
      </c>
    </row>
    <row r="54" spans="2:19" s="113" customFormat="1" ht="27.75" customHeight="1" x14ac:dyDescent="0.25">
      <c r="B54" s="59"/>
      <c r="C54" s="114"/>
      <c r="D54" s="447"/>
      <c r="E54" s="88" t="s">
        <v>5</v>
      </c>
      <c r="F54" s="1579" t="s">
        <v>78</v>
      </c>
      <c r="G54" s="1580"/>
      <c r="H54" s="165" t="s">
        <v>79</v>
      </c>
      <c r="I54" s="110">
        <v>1</v>
      </c>
      <c r="J54" s="625">
        <f>550000000+200000000</f>
        <v>750000000</v>
      </c>
      <c r="K54" s="625">
        <f>550000000+200000000</f>
        <v>750000000</v>
      </c>
      <c r="L54" s="1029"/>
      <c r="M54" s="1029"/>
      <c r="N54" s="112"/>
      <c r="O54" s="112"/>
      <c r="P54" s="553"/>
      <c r="Q54" s="112"/>
    </row>
    <row r="55" spans="2:19" s="113" customFormat="1" ht="19.5" customHeight="1" x14ac:dyDescent="0.25">
      <c r="B55" s="59"/>
      <c r="C55" s="39"/>
      <c r="D55" s="109"/>
      <c r="E55" s="450" t="s">
        <v>10</v>
      </c>
      <c r="F55" s="1577" t="s">
        <v>80</v>
      </c>
      <c r="G55" s="1578"/>
      <c r="H55" s="173" t="s">
        <v>411</v>
      </c>
      <c r="I55" s="445" t="s">
        <v>430</v>
      </c>
      <c r="J55" s="626">
        <f>J56+J57</f>
        <v>850000000</v>
      </c>
      <c r="K55" s="626">
        <f>K56+K57</f>
        <v>850000000</v>
      </c>
      <c r="L55" s="1030"/>
      <c r="M55" s="1030"/>
      <c r="N55" s="118"/>
      <c r="O55" s="118"/>
      <c r="P55" s="554"/>
      <c r="Q55" s="118"/>
    </row>
    <row r="56" spans="2:19" s="113" customFormat="1" x14ac:dyDescent="0.25">
      <c r="B56" s="59"/>
      <c r="C56" s="119"/>
      <c r="D56" s="120"/>
      <c r="E56" s="121"/>
      <c r="F56" s="122" t="s">
        <v>46</v>
      </c>
      <c r="G56" s="123" t="s">
        <v>81</v>
      </c>
      <c r="H56" s="601"/>
      <c r="I56" s="124" t="s">
        <v>86</v>
      </c>
      <c r="J56" s="627">
        <v>500000000</v>
      </c>
      <c r="K56" s="627">
        <v>500000000</v>
      </c>
      <c r="L56" s="1031"/>
      <c r="M56" s="1031"/>
      <c r="N56" s="126"/>
      <c r="O56" s="126"/>
      <c r="P56" s="555"/>
      <c r="Q56" s="126"/>
    </row>
    <row r="57" spans="2:19" s="113" customFormat="1" x14ac:dyDescent="0.25">
      <c r="B57" s="59"/>
      <c r="C57" s="119"/>
      <c r="D57" s="120"/>
      <c r="E57" s="121"/>
      <c r="F57" s="122" t="s">
        <v>46</v>
      </c>
      <c r="G57" s="123" t="s">
        <v>82</v>
      </c>
      <c r="H57" s="601"/>
      <c r="I57" s="124" t="s">
        <v>86</v>
      </c>
      <c r="J57" s="627">
        <v>350000000</v>
      </c>
      <c r="K57" s="627">
        <v>350000000</v>
      </c>
      <c r="L57" s="1031"/>
      <c r="M57" s="1031"/>
      <c r="N57" s="126"/>
      <c r="O57" s="126"/>
      <c r="P57" s="555"/>
      <c r="Q57" s="126"/>
    </row>
    <row r="58" spans="2:19" s="113" customFormat="1" ht="21" customHeight="1" x14ac:dyDescent="0.25">
      <c r="B58" s="59"/>
      <c r="C58" s="39"/>
      <c r="D58" s="109"/>
      <c r="E58" s="449" t="s">
        <v>13</v>
      </c>
      <c r="F58" s="1581" t="s">
        <v>83</v>
      </c>
      <c r="G58" s="1581"/>
      <c r="H58" s="469" t="s">
        <v>412</v>
      </c>
      <c r="I58" s="444" t="s">
        <v>430</v>
      </c>
      <c r="J58" s="626">
        <f>SUM(J59:J60)</f>
        <v>400000000</v>
      </c>
      <c r="K58" s="626">
        <f>SUM(K59:K60)</f>
        <v>400000000</v>
      </c>
      <c r="L58" s="1030"/>
      <c r="M58" s="1030"/>
      <c r="N58" s="118"/>
      <c r="O58" s="118"/>
      <c r="P58" s="556"/>
      <c r="Q58" s="118"/>
    </row>
    <row r="59" spans="2:19" s="113" customFormat="1" x14ac:dyDescent="0.25">
      <c r="B59" s="59"/>
      <c r="C59" s="127"/>
      <c r="D59" s="128"/>
      <c r="E59" s="129"/>
      <c r="F59" s="130" t="s">
        <v>46</v>
      </c>
      <c r="G59" s="131" t="s">
        <v>84</v>
      </c>
      <c r="H59" s="602"/>
      <c r="I59" s="116" t="s">
        <v>86</v>
      </c>
      <c r="J59" s="627">
        <v>200000000</v>
      </c>
      <c r="K59" s="627">
        <v>200000000</v>
      </c>
      <c r="L59" s="1031"/>
      <c r="M59" s="1031"/>
      <c r="N59" s="126"/>
      <c r="O59" s="126"/>
      <c r="P59" s="557"/>
      <c r="Q59" s="126"/>
    </row>
    <row r="60" spans="2:19" s="113" customFormat="1" ht="14.25" customHeight="1" x14ac:dyDescent="0.25">
      <c r="B60" s="59"/>
      <c r="C60" s="119"/>
      <c r="D60" s="120"/>
      <c r="E60" s="121"/>
      <c r="F60" s="122" t="s">
        <v>46</v>
      </c>
      <c r="G60" s="123" t="s">
        <v>85</v>
      </c>
      <c r="H60" s="601"/>
      <c r="I60" s="124" t="s">
        <v>86</v>
      </c>
      <c r="J60" s="627">
        <v>200000000</v>
      </c>
      <c r="K60" s="627">
        <v>200000000</v>
      </c>
      <c r="L60" s="1031"/>
      <c r="M60" s="1031"/>
      <c r="N60" s="126"/>
      <c r="O60" s="126"/>
      <c r="P60" s="555"/>
      <c r="Q60" s="126"/>
    </row>
    <row r="61" spans="2:19" s="82" customFormat="1" ht="20.25" customHeight="1" x14ac:dyDescent="0.25">
      <c r="B61" s="59"/>
      <c r="C61" s="39"/>
      <c r="D61" s="109"/>
      <c r="E61" s="88" t="s">
        <v>16</v>
      </c>
      <c r="F61" s="1582" t="s">
        <v>87</v>
      </c>
      <c r="G61" s="1583"/>
      <c r="H61" s="968" t="s">
        <v>413</v>
      </c>
      <c r="I61" s="134">
        <v>1</v>
      </c>
      <c r="J61" s="628">
        <v>0</v>
      </c>
      <c r="K61" s="628">
        <v>0</v>
      </c>
      <c r="L61" s="1032"/>
      <c r="M61" s="1032"/>
      <c r="N61" s="108"/>
      <c r="O61" s="108"/>
      <c r="P61" s="558"/>
      <c r="Q61" s="108"/>
      <c r="R61" s="136"/>
    </row>
    <row r="62" spans="2:19" s="82" customFormat="1" ht="29.25" customHeight="1" x14ac:dyDescent="0.25">
      <c r="B62" s="59"/>
      <c r="C62" s="39"/>
      <c r="D62" s="109"/>
      <c r="E62" s="88" t="s">
        <v>19</v>
      </c>
      <c r="F62" s="1582" t="s">
        <v>88</v>
      </c>
      <c r="G62" s="1583"/>
      <c r="H62" s="469" t="s">
        <v>414</v>
      </c>
      <c r="I62" s="443" t="s">
        <v>430</v>
      </c>
      <c r="J62" s="626">
        <f>SUM(J63:J64)</f>
        <v>900000000</v>
      </c>
      <c r="K62" s="626">
        <f>SUM(K63:K64)</f>
        <v>900000000</v>
      </c>
      <c r="L62" s="1030"/>
      <c r="M62" s="1030"/>
      <c r="N62" s="118"/>
      <c r="O62" s="118"/>
      <c r="P62" s="559"/>
      <c r="Q62" s="118"/>
    </row>
    <row r="63" spans="2:19" s="113" customFormat="1" ht="15.75" customHeight="1" x14ac:dyDescent="0.25">
      <c r="B63" s="59"/>
      <c r="C63" s="119"/>
      <c r="D63" s="120"/>
      <c r="E63" s="121"/>
      <c r="F63" s="122" t="s">
        <v>46</v>
      </c>
      <c r="G63" s="138" t="s">
        <v>392</v>
      </c>
      <c r="H63" s="601"/>
      <c r="I63" s="137" t="s">
        <v>86</v>
      </c>
      <c r="J63" s="627">
        <v>600000000</v>
      </c>
      <c r="K63" s="627">
        <v>600000000</v>
      </c>
      <c r="L63" s="1031"/>
      <c r="M63" s="1031"/>
      <c r="N63" s="126"/>
      <c r="O63" s="126"/>
      <c r="P63" s="560"/>
      <c r="Q63" s="126"/>
    </row>
    <row r="64" spans="2:19" s="113" customFormat="1" ht="25.5" x14ac:dyDescent="0.25">
      <c r="B64" s="59"/>
      <c r="C64" s="119"/>
      <c r="D64" s="120"/>
      <c r="E64" s="121"/>
      <c r="F64" s="122" t="s">
        <v>46</v>
      </c>
      <c r="G64" s="138" t="s">
        <v>89</v>
      </c>
      <c r="H64" s="601"/>
      <c r="I64" s="137" t="s">
        <v>86</v>
      </c>
      <c r="J64" s="627">
        <v>300000000</v>
      </c>
      <c r="K64" s="627">
        <v>300000000</v>
      </c>
      <c r="L64" s="1031"/>
      <c r="M64" s="1031"/>
      <c r="N64" s="126"/>
      <c r="O64" s="126"/>
      <c r="P64" s="519"/>
      <c r="Q64" s="126"/>
    </row>
    <row r="65" spans="2:20" s="29" customFormat="1" ht="19.5" customHeight="1" x14ac:dyDescent="0.25">
      <c r="B65" s="13"/>
      <c r="C65" s="39"/>
      <c r="D65" s="140"/>
      <c r="E65" s="109" t="s">
        <v>27</v>
      </c>
      <c r="F65" s="1533" t="s">
        <v>90</v>
      </c>
      <c r="G65" s="1534"/>
      <c r="H65" s="172" t="s">
        <v>91</v>
      </c>
      <c r="I65" s="142" t="s">
        <v>92</v>
      </c>
      <c r="J65" s="629">
        <f>100000000</f>
        <v>100000000</v>
      </c>
      <c r="K65" s="629">
        <f>100000000</f>
        <v>100000000</v>
      </c>
      <c r="L65" s="1033"/>
      <c r="M65" s="1033"/>
      <c r="N65" s="144"/>
      <c r="O65" s="144"/>
      <c r="P65" s="520"/>
      <c r="Q65" s="492"/>
      <c r="T65" s="145"/>
    </row>
    <row r="66" spans="2:20" s="62" customFormat="1" ht="19.5" customHeight="1" x14ac:dyDescent="0.25">
      <c r="B66" s="59"/>
      <c r="C66" s="39"/>
      <c r="D66" s="109"/>
      <c r="E66" s="88" t="s">
        <v>30</v>
      </c>
      <c r="F66" s="1582" t="s">
        <v>93</v>
      </c>
      <c r="G66" s="1583"/>
      <c r="H66" s="968" t="s">
        <v>94</v>
      </c>
      <c r="I66" s="442" t="s">
        <v>481</v>
      </c>
      <c r="J66" s="630">
        <f>7200000000+4000000000</f>
        <v>11200000000</v>
      </c>
      <c r="K66" s="630">
        <f>7200000000+4000000000</f>
        <v>11200000000</v>
      </c>
      <c r="L66" s="1034"/>
      <c r="M66" s="1034"/>
      <c r="N66" s="147"/>
      <c r="O66" s="147"/>
      <c r="P66" s="521"/>
      <c r="Q66" s="118"/>
      <c r="R66" s="148"/>
      <c r="T66" s="148">
        <f>S66/800000</f>
        <v>0</v>
      </c>
    </row>
    <row r="67" spans="2:20" s="113" customFormat="1" ht="19.5" customHeight="1" x14ac:dyDescent="0.25">
      <c r="B67" s="59"/>
      <c r="C67" s="39"/>
      <c r="D67" s="109"/>
      <c r="E67" s="88" t="s">
        <v>8</v>
      </c>
      <c r="F67" s="1582" t="s">
        <v>95</v>
      </c>
      <c r="G67" s="1583"/>
      <c r="H67" s="469" t="s">
        <v>96</v>
      </c>
      <c r="I67" s="110" t="s">
        <v>429</v>
      </c>
      <c r="J67" s="631">
        <f>16100000000-10000000000+200000000</f>
        <v>6300000000</v>
      </c>
      <c r="K67" s="631">
        <f>16100000000-10000000000+200000000</f>
        <v>6300000000</v>
      </c>
      <c r="L67" s="1035"/>
      <c r="M67" s="1035"/>
      <c r="N67" s="150"/>
      <c r="O67" s="150"/>
      <c r="P67" s="516"/>
      <c r="Q67" s="112"/>
      <c r="S67" s="151"/>
    </row>
    <row r="68" spans="2:20" s="82" customFormat="1" ht="19.5" customHeight="1" x14ac:dyDescent="0.25">
      <c r="B68" s="59"/>
      <c r="C68" s="39"/>
      <c r="D68" s="109"/>
      <c r="E68" s="88" t="s">
        <v>22</v>
      </c>
      <c r="F68" s="1579" t="s">
        <v>97</v>
      </c>
      <c r="G68" s="1580"/>
      <c r="H68" s="152" t="s">
        <v>98</v>
      </c>
      <c r="I68" s="153">
        <v>1</v>
      </c>
      <c r="J68" s="632">
        <f>SUM(J69:J74)</f>
        <v>6600000000</v>
      </c>
      <c r="K68" s="632">
        <f>SUM(K69:K74)</f>
        <v>6600000000</v>
      </c>
      <c r="L68" s="1030"/>
      <c r="M68" s="1030"/>
      <c r="N68" s="118"/>
      <c r="O68" s="118"/>
      <c r="P68" s="522"/>
      <c r="Q68" s="118"/>
      <c r="S68" s="155"/>
    </row>
    <row r="69" spans="2:20" s="163" customFormat="1" x14ac:dyDescent="0.25">
      <c r="B69" s="59"/>
      <c r="C69" s="119"/>
      <c r="D69" s="156"/>
      <c r="E69" s="157"/>
      <c r="F69" s="158" t="s">
        <v>46</v>
      </c>
      <c r="G69" s="159" t="s">
        <v>99</v>
      </c>
      <c r="H69" s="160"/>
      <c r="I69" s="161"/>
      <c r="J69" s="633">
        <v>1100000000</v>
      </c>
      <c r="K69" s="633">
        <v>1100000000</v>
      </c>
      <c r="L69" s="1031"/>
      <c r="M69" s="1031"/>
      <c r="N69" s="126"/>
      <c r="O69" s="126"/>
      <c r="P69" s="523"/>
      <c r="Q69" s="126"/>
    </row>
    <row r="70" spans="2:20" s="163" customFormat="1" x14ac:dyDescent="0.25">
      <c r="B70" s="59"/>
      <c r="C70" s="119"/>
      <c r="D70" s="156"/>
      <c r="E70" s="157"/>
      <c r="F70" s="158" t="s">
        <v>46</v>
      </c>
      <c r="G70" s="159" t="s">
        <v>100</v>
      </c>
      <c r="H70" s="160"/>
      <c r="I70" s="161"/>
      <c r="J70" s="633">
        <v>1100000000</v>
      </c>
      <c r="K70" s="633">
        <v>1100000000</v>
      </c>
      <c r="L70" s="1031"/>
      <c r="M70" s="1031"/>
      <c r="N70" s="126"/>
      <c r="O70" s="126"/>
      <c r="P70" s="523"/>
      <c r="Q70" s="126"/>
      <c r="S70" s="164"/>
    </row>
    <row r="71" spans="2:20" s="163" customFormat="1" x14ac:dyDescent="0.25">
      <c r="B71" s="59"/>
      <c r="C71" s="119"/>
      <c r="D71" s="156"/>
      <c r="E71" s="157"/>
      <c r="F71" s="158" t="s">
        <v>46</v>
      </c>
      <c r="G71" s="159" t="s">
        <v>101</v>
      </c>
      <c r="H71" s="160"/>
      <c r="I71" s="161"/>
      <c r="J71" s="633">
        <v>1100000000</v>
      </c>
      <c r="K71" s="633">
        <v>1100000000</v>
      </c>
      <c r="L71" s="1031"/>
      <c r="M71" s="1031"/>
      <c r="N71" s="126"/>
      <c r="O71" s="126"/>
      <c r="P71" s="523"/>
      <c r="Q71" s="126"/>
    </row>
    <row r="72" spans="2:20" s="163" customFormat="1" x14ac:dyDescent="0.25">
      <c r="B72" s="59"/>
      <c r="C72" s="119"/>
      <c r="D72" s="156"/>
      <c r="E72" s="157"/>
      <c r="F72" s="158" t="s">
        <v>46</v>
      </c>
      <c r="G72" s="159" t="s">
        <v>102</v>
      </c>
      <c r="H72" s="160"/>
      <c r="I72" s="161"/>
      <c r="J72" s="633">
        <v>1100000000</v>
      </c>
      <c r="K72" s="633">
        <v>1100000000</v>
      </c>
      <c r="L72" s="1031"/>
      <c r="M72" s="1031"/>
      <c r="N72" s="126"/>
      <c r="O72" s="126"/>
      <c r="P72" s="523"/>
      <c r="Q72" s="126"/>
    </row>
    <row r="73" spans="2:20" s="163" customFormat="1" x14ac:dyDescent="0.25">
      <c r="B73" s="59"/>
      <c r="C73" s="119"/>
      <c r="D73" s="156"/>
      <c r="E73" s="157"/>
      <c r="F73" s="158" t="s">
        <v>46</v>
      </c>
      <c r="G73" s="159" t="s">
        <v>103</v>
      </c>
      <c r="H73" s="160"/>
      <c r="I73" s="161"/>
      <c r="J73" s="633">
        <v>1100000000</v>
      </c>
      <c r="K73" s="633">
        <v>1100000000</v>
      </c>
      <c r="L73" s="1031"/>
      <c r="M73" s="1031"/>
      <c r="N73" s="126"/>
      <c r="O73" s="126"/>
      <c r="P73" s="523"/>
      <c r="Q73" s="126"/>
    </row>
    <row r="74" spans="2:20" s="163" customFormat="1" x14ac:dyDescent="0.25">
      <c r="B74" s="59"/>
      <c r="C74" s="119"/>
      <c r="D74" s="156"/>
      <c r="E74" s="157"/>
      <c r="F74" s="158" t="s">
        <v>46</v>
      </c>
      <c r="G74" s="159" t="s">
        <v>104</v>
      </c>
      <c r="H74" s="160"/>
      <c r="I74" s="161"/>
      <c r="J74" s="633">
        <v>1100000000</v>
      </c>
      <c r="K74" s="633">
        <v>1100000000</v>
      </c>
      <c r="L74" s="1031"/>
      <c r="M74" s="1031"/>
      <c r="N74" s="126"/>
      <c r="O74" s="126"/>
      <c r="P74" s="523"/>
      <c r="Q74" s="126"/>
    </row>
    <row r="75" spans="2:20" s="113" customFormat="1" ht="19.5" customHeight="1" x14ac:dyDescent="0.25">
      <c r="B75" s="59"/>
      <c r="C75" s="39"/>
      <c r="D75" s="109"/>
      <c r="E75" s="88" t="s">
        <v>210</v>
      </c>
      <c r="F75" s="1577" t="s">
        <v>105</v>
      </c>
      <c r="G75" s="1578"/>
      <c r="H75" s="165" t="s">
        <v>106</v>
      </c>
      <c r="I75" s="166">
        <v>1</v>
      </c>
      <c r="J75" s="634">
        <v>0</v>
      </c>
      <c r="K75" s="634">
        <v>0</v>
      </c>
      <c r="L75" s="1036"/>
      <c r="M75" s="1036"/>
      <c r="N75" s="168"/>
      <c r="O75" s="168"/>
      <c r="P75" s="524"/>
      <c r="Q75" s="168"/>
      <c r="R75" s="113" t="s">
        <v>107</v>
      </c>
    </row>
    <row r="76" spans="2:20" s="113" customFormat="1" ht="15.75" hidden="1" customHeight="1" x14ac:dyDescent="0.25">
      <c r="B76" s="59"/>
      <c r="C76" s="119"/>
      <c r="D76" s="156"/>
      <c r="E76" s="157"/>
      <c r="F76" s="169" t="s">
        <v>46</v>
      </c>
      <c r="G76" s="170" t="s">
        <v>108</v>
      </c>
      <c r="H76" s="171"/>
      <c r="I76" s="116" t="s">
        <v>109</v>
      </c>
      <c r="J76" s="627">
        <v>17500000000</v>
      </c>
      <c r="K76" s="627">
        <v>17500000000</v>
      </c>
      <c r="L76" s="1031"/>
      <c r="M76" s="1031"/>
      <c r="N76" s="126"/>
      <c r="O76" s="126"/>
      <c r="P76" s="517"/>
      <c r="Q76" s="126"/>
    </row>
    <row r="77" spans="2:20" s="113" customFormat="1" ht="15.75" hidden="1" customHeight="1" x14ac:dyDescent="0.25">
      <c r="B77" s="59"/>
      <c r="C77" s="119"/>
      <c r="D77" s="156"/>
      <c r="E77" s="157"/>
      <c r="F77" s="169" t="s">
        <v>46</v>
      </c>
      <c r="G77" s="170" t="s">
        <v>110</v>
      </c>
      <c r="H77" s="171"/>
      <c r="I77" s="116" t="s">
        <v>111</v>
      </c>
      <c r="J77" s="627">
        <v>7500000000</v>
      </c>
      <c r="K77" s="627">
        <v>7500000000</v>
      </c>
      <c r="L77" s="1031"/>
      <c r="M77" s="1031"/>
      <c r="N77" s="126"/>
      <c r="O77" s="126"/>
      <c r="P77" s="517"/>
      <c r="Q77" s="126"/>
    </row>
    <row r="78" spans="2:20" s="113" customFormat="1" ht="15.75" hidden="1" customHeight="1" x14ac:dyDescent="0.25">
      <c r="B78" s="59"/>
      <c r="C78" s="119"/>
      <c r="D78" s="156"/>
      <c r="E78" s="157"/>
      <c r="F78" s="169" t="s">
        <v>46</v>
      </c>
      <c r="G78" s="170" t="s">
        <v>112</v>
      </c>
      <c r="H78" s="171"/>
      <c r="I78" s="116" t="s">
        <v>113</v>
      </c>
      <c r="J78" s="627">
        <v>15400000000</v>
      </c>
      <c r="K78" s="627">
        <v>15400000000</v>
      </c>
      <c r="L78" s="1031"/>
      <c r="M78" s="1031"/>
      <c r="N78" s="126"/>
      <c r="O78" s="126"/>
      <c r="P78" s="517"/>
      <c r="Q78" s="126"/>
    </row>
    <row r="79" spans="2:20" s="113" customFormat="1" ht="15.75" hidden="1" customHeight="1" x14ac:dyDescent="0.25">
      <c r="B79" s="59"/>
      <c r="C79" s="119"/>
      <c r="D79" s="156"/>
      <c r="E79" s="157"/>
      <c r="F79" s="169" t="s">
        <v>46</v>
      </c>
      <c r="G79" s="170" t="s">
        <v>114</v>
      </c>
      <c r="H79" s="171"/>
      <c r="I79" s="116" t="s">
        <v>115</v>
      </c>
      <c r="J79" s="627">
        <v>0</v>
      </c>
      <c r="K79" s="627">
        <v>0</v>
      </c>
      <c r="L79" s="1031"/>
      <c r="M79" s="1031"/>
      <c r="N79" s="126"/>
      <c r="O79" s="126"/>
      <c r="P79" s="517"/>
      <c r="Q79" s="126"/>
    </row>
    <row r="80" spans="2:20" s="113" customFormat="1" ht="15.75" hidden="1" customHeight="1" x14ac:dyDescent="0.25">
      <c r="B80" s="59"/>
      <c r="C80" s="119"/>
      <c r="D80" s="156"/>
      <c r="E80" s="157"/>
      <c r="F80" s="169" t="s">
        <v>46</v>
      </c>
      <c r="G80" s="170" t="s">
        <v>116</v>
      </c>
      <c r="H80" s="171"/>
      <c r="I80" s="116">
        <v>1</v>
      </c>
      <c r="J80" s="627">
        <v>1000000</v>
      </c>
      <c r="K80" s="627">
        <v>1000000</v>
      </c>
      <c r="L80" s="1031"/>
      <c r="M80" s="1031"/>
      <c r="N80" s="126"/>
      <c r="O80" s="126"/>
      <c r="P80" s="517"/>
      <c r="Q80" s="126"/>
    </row>
    <row r="81" spans="2:20" s="113" customFormat="1" ht="15.75" hidden="1" customHeight="1" x14ac:dyDescent="0.25">
      <c r="B81" s="59"/>
      <c r="C81" s="119"/>
      <c r="D81" s="156"/>
      <c r="E81" s="157"/>
      <c r="F81" s="169" t="s">
        <v>46</v>
      </c>
      <c r="G81" s="170" t="s">
        <v>117</v>
      </c>
      <c r="H81" s="171"/>
      <c r="I81" s="116">
        <v>1</v>
      </c>
      <c r="J81" s="627">
        <v>1000000</v>
      </c>
      <c r="K81" s="627">
        <v>1000000</v>
      </c>
      <c r="L81" s="1031"/>
      <c r="M81" s="1031"/>
      <c r="N81" s="126"/>
      <c r="O81" s="126"/>
      <c r="P81" s="517"/>
      <c r="Q81" s="126"/>
    </row>
    <row r="82" spans="2:20" s="113" customFormat="1" ht="30.75" hidden="1" customHeight="1" x14ac:dyDescent="0.25">
      <c r="B82" s="59"/>
      <c r="C82" s="119"/>
      <c r="D82" s="156"/>
      <c r="E82" s="157"/>
      <c r="F82" s="169" t="s">
        <v>46</v>
      </c>
      <c r="G82" s="170" t="s">
        <v>118</v>
      </c>
      <c r="H82" s="171"/>
      <c r="I82" s="116">
        <v>1</v>
      </c>
      <c r="J82" s="627">
        <v>1000000</v>
      </c>
      <c r="K82" s="627">
        <v>1000000</v>
      </c>
      <c r="L82" s="1031"/>
      <c r="M82" s="1031"/>
      <c r="N82" s="126"/>
      <c r="O82" s="126"/>
      <c r="P82" s="517"/>
      <c r="Q82" s="126"/>
    </row>
    <row r="83" spans="2:20" s="113" customFormat="1" ht="15.75" hidden="1" customHeight="1" x14ac:dyDescent="0.25">
      <c r="B83" s="59"/>
      <c r="C83" s="119"/>
      <c r="D83" s="156"/>
      <c r="E83" s="157"/>
      <c r="F83" s="169" t="s">
        <v>46</v>
      </c>
      <c r="G83" s="170" t="s">
        <v>119</v>
      </c>
      <c r="H83" s="171"/>
      <c r="I83" s="116">
        <v>1</v>
      </c>
      <c r="J83" s="627">
        <v>1000000</v>
      </c>
      <c r="K83" s="627">
        <v>1000000</v>
      </c>
      <c r="L83" s="1031"/>
      <c r="M83" s="1031"/>
      <c r="N83" s="126"/>
      <c r="O83" s="126"/>
      <c r="P83" s="517"/>
      <c r="Q83" s="126"/>
    </row>
    <row r="84" spans="2:20" s="113" customFormat="1" ht="15.75" hidden="1" customHeight="1" x14ac:dyDescent="0.25">
      <c r="B84" s="59"/>
      <c r="C84" s="119"/>
      <c r="D84" s="156"/>
      <c r="E84" s="157"/>
      <c r="F84" s="169" t="s">
        <v>46</v>
      </c>
      <c r="G84" s="170" t="s">
        <v>120</v>
      </c>
      <c r="H84" s="171"/>
      <c r="I84" s="116">
        <v>1</v>
      </c>
      <c r="J84" s="627">
        <v>1000000</v>
      </c>
      <c r="K84" s="627">
        <v>1000000</v>
      </c>
      <c r="L84" s="1031"/>
      <c r="M84" s="1031"/>
      <c r="N84" s="126"/>
      <c r="O84" s="126"/>
      <c r="P84" s="517"/>
      <c r="Q84" s="126"/>
    </row>
    <row r="85" spans="2:20" s="113" customFormat="1" ht="30.75" hidden="1" customHeight="1" x14ac:dyDescent="0.25">
      <c r="B85" s="59"/>
      <c r="C85" s="119"/>
      <c r="D85" s="156"/>
      <c r="E85" s="157"/>
      <c r="F85" s="169" t="s">
        <v>46</v>
      </c>
      <c r="G85" s="170" t="s">
        <v>121</v>
      </c>
      <c r="H85" s="171"/>
      <c r="I85" s="116">
        <v>1</v>
      </c>
      <c r="J85" s="627">
        <v>1000000</v>
      </c>
      <c r="K85" s="627">
        <v>1000000</v>
      </c>
      <c r="L85" s="1031"/>
      <c r="M85" s="1031"/>
      <c r="N85" s="126"/>
      <c r="O85" s="126"/>
      <c r="P85" s="517"/>
      <c r="Q85" s="126"/>
    </row>
    <row r="86" spans="2:20" s="113" customFormat="1" ht="30.75" hidden="1" customHeight="1" x14ac:dyDescent="0.25">
      <c r="B86" s="59"/>
      <c r="C86" s="119"/>
      <c r="D86" s="156"/>
      <c r="E86" s="157"/>
      <c r="F86" s="169" t="s">
        <v>46</v>
      </c>
      <c r="G86" s="170" t="s">
        <v>122</v>
      </c>
      <c r="H86" s="171"/>
      <c r="I86" s="116">
        <v>1</v>
      </c>
      <c r="J86" s="627">
        <v>1000000</v>
      </c>
      <c r="K86" s="627">
        <v>1000000</v>
      </c>
      <c r="L86" s="1031"/>
      <c r="M86" s="1031"/>
      <c r="N86" s="126"/>
      <c r="O86" s="126"/>
      <c r="P86" s="517"/>
      <c r="Q86" s="126"/>
    </row>
    <row r="87" spans="2:20" s="113" customFormat="1" ht="15.75" hidden="1" customHeight="1" x14ac:dyDescent="0.25">
      <c r="B87" s="59"/>
      <c r="C87" s="119"/>
      <c r="D87" s="156"/>
      <c r="E87" s="157"/>
      <c r="F87" s="169" t="s">
        <v>46</v>
      </c>
      <c r="G87" s="170" t="s">
        <v>123</v>
      </c>
      <c r="H87" s="171"/>
      <c r="I87" s="116">
        <v>2</v>
      </c>
      <c r="J87" s="627">
        <v>1000000</v>
      </c>
      <c r="K87" s="627">
        <v>1000000</v>
      </c>
      <c r="L87" s="1031"/>
      <c r="M87" s="1031"/>
      <c r="N87" s="126"/>
      <c r="O87" s="126"/>
      <c r="P87" s="517"/>
      <c r="Q87" s="126"/>
    </row>
    <row r="88" spans="2:20" s="113" customFormat="1" ht="15.75" hidden="1" customHeight="1" x14ac:dyDescent="0.25">
      <c r="B88" s="59"/>
      <c r="C88" s="119"/>
      <c r="D88" s="156"/>
      <c r="E88" s="157"/>
      <c r="F88" s="169" t="s">
        <v>46</v>
      </c>
      <c r="G88" s="170" t="s">
        <v>124</v>
      </c>
      <c r="H88" s="171"/>
      <c r="I88" s="116">
        <v>1</v>
      </c>
      <c r="J88" s="627">
        <v>1000000</v>
      </c>
      <c r="K88" s="627">
        <v>1000000</v>
      </c>
      <c r="L88" s="1031"/>
      <c r="M88" s="1031"/>
      <c r="N88" s="126"/>
      <c r="O88" s="126"/>
      <c r="P88" s="517"/>
      <c r="Q88" s="126"/>
    </row>
    <row r="89" spans="2:20" s="113" customFormat="1" ht="21.75" hidden="1" customHeight="1" x14ac:dyDescent="0.25">
      <c r="B89" s="59"/>
      <c r="C89" s="39"/>
      <c r="D89" s="109"/>
      <c r="E89" s="88"/>
      <c r="F89" s="1577" t="s">
        <v>125</v>
      </c>
      <c r="G89" s="1578"/>
      <c r="H89" s="172" t="s">
        <v>126</v>
      </c>
      <c r="I89" s="110"/>
      <c r="J89" s="625">
        <v>0</v>
      </c>
      <c r="K89" s="625">
        <v>0</v>
      </c>
      <c r="L89" s="1029"/>
      <c r="M89" s="1029"/>
      <c r="N89" s="112"/>
      <c r="O89" s="112"/>
      <c r="P89" s="516"/>
      <c r="Q89" s="112"/>
    </row>
    <row r="90" spans="2:20" s="62" customFormat="1" ht="21" customHeight="1" x14ac:dyDescent="0.25">
      <c r="B90" s="59"/>
      <c r="C90" s="39"/>
      <c r="D90" s="109"/>
      <c r="E90" s="88" t="s">
        <v>439</v>
      </c>
      <c r="F90" s="1577" t="s">
        <v>127</v>
      </c>
      <c r="G90" s="1578"/>
      <c r="H90" s="173" t="s">
        <v>128</v>
      </c>
      <c r="I90" s="134" t="s">
        <v>397</v>
      </c>
      <c r="J90" s="626">
        <f>SUM(J91:J91)</f>
        <v>10000000000</v>
      </c>
      <c r="K90" s="626">
        <f>SUM(K91:K91)</f>
        <v>10000000000</v>
      </c>
      <c r="L90" s="1030"/>
      <c r="M90" s="1030"/>
      <c r="N90" s="118"/>
      <c r="O90" s="118"/>
      <c r="P90" s="518"/>
      <c r="Q90" s="118"/>
    </row>
    <row r="91" spans="2:20" s="113" customFormat="1" x14ac:dyDescent="0.25">
      <c r="B91" s="59"/>
      <c r="C91" s="127"/>
      <c r="D91" s="128"/>
      <c r="E91" s="115"/>
      <c r="F91" s="174" t="s">
        <v>46</v>
      </c>
      <c r="G91" s="175" t="s">
        <v>129</v>
      </c>
      <c r="H91" s="602"/>
      <c r="I91" s="176" t="s">
        <v>393</v>
      </c>
      <c r="J91" s="635">
        <v>10000000000</v>
      </c>
      <c r="K91" s="635">
        <v>10000000000</v>
      </c>
      <c r="L91" s="1037"/>
      <c r="M91" s="1037"/>
      <c r="N91" s="178"/>
      <c r="O91" s="178"/>
      <c r="P91" s="525"/>
      <c r="Q91" s="178"/>
    </row>
    <row r="92" spans="2:20" s="62" customFormat="1" ht="19.5" customHeight="1" x14ac:dyDescent="0.25">
      <c r="B92" s="59"/>
      <c r="C92" s="39"/>
      <c r="D92" s="109"/>
      <c r="E92" s="88" t="s">
        <v>440</v>
      </c>
      <c r="F92" s="1577" t="s">
        <v>130</v>
      </c>
      <c r="G92" s="1578"/>
      <c r="H92" s="165" t="s">
        <v>131</v>
      </c>
      <c r="I92" s="134" t="s">
        <v>398</v>
      </c>
      <c r="J92" s="626">
        <f>SUM(J93:J95)</f>
        <v>12000000000</v>
      </c>
      <c r="K92" s="626">
        <f>SUM(K93:K95)</f>
        <v>12000000000</v>
      </c>
      <c r="L92" s="1030"/>
      <c r="M92" s="1030"/>
      <c r="N92" s="118"/>
      <c r="O92" s="118"/>
      <c r="P92" s="518"/>
      <c r="Q92" s="118"/>
    </row>
    <row r="93" spans="2:20" s="113" customFormat="1" x14ac:dyDescent="0.25">
      <c r="B93" s="59"/>
      <c r="C93" s="127"/>
      <c r="D93" s="128"/>
      <c r="E93" s="115"/>
      <c r="F93" s="130" t="s">
        <v>46</v>
      </c>
      <c r="G93" s="180" t="s">
        <v>132</v>
      </c>
      <c r="H93" s="602"/>
      <c r="I93" s="176" t="s">
        <v>133</v>
      </c>
      <c r="J93" s="635">
        <v>4200000000</v>
      </c>
      <c r="K93" s="635">
        <v>4200000000</v>
      </c>
      <c r="L93" s="1037"/>
      <c r="M93" s="1037"/>
      <c r="N93" s="178"/>
      <c r="O93" s="178"/>
      <c r="P93" s="525"/>
      <c r="Q93" s="178"/>
      <c r="R93" s="181"/>
      <c r="T93" s="181"/>
    </row>
    <row r="94" spans="2:20" s="192" customFormat="1" x14ac:dyDescent="0.25">
      <c r="B94" s="182"/>
      <c r="C94" s="183"/>
      <c r="D94" s="184"/>
      <c r="E94" s="185"/>
      <c r="F94" s="186" t="s">
        <v>46</v>
      </c>
      <c r="G94" s="187" t="s">
        <v>132</v>
      </c>
      <c r="H94" s="603"/>
      <c r="I94" s="189"/>
      <c r="J94" s="636">
        <v>1800000000</v>
      </c>
      <c r="K94" s="636">
        <v>1800000000</v>
      </c>
      <c r="L94" s="1038"/>
      <c r="M94" s="1038"/>
      <c r="N94" s="191"/>
      <c r="O94" s="191"/>
      <c r="P94" s="584" t="s">
        <v>134</v>
      </c>
      <c r="Q94" s="191">
        <v>1800000000</v>
      </c>
      <c r="R94" s="193" t="s">
        <v>134</v>
      </c>
      <c r="T94" s="193"/>
    </row>
    <row r="95" spans="2:20" s="113" customFormat="1" x14ac:dyDescent="0.25">
      <c r="B95" s="59"/>
      <c r="C95" s="127"/>
      <c r="D95" s="128"/>
      <c r="E95" s="115"/>
      <c r="F95" s="130" t="s">
        <v>46</v>
      </c>
      <c r="G95" s="180" t="s">
        <v>135</v>
      </c>
      <c r="H95" s="602"/>
      <c r="I95" s="176" t="s">
        <v>133</v>
      </c>
      <c r="J95" s="635">
        <v>6000000000</v>
      </c>
      <c r="K95" s="635">
        <v>6000000000</v>
      </c>
      <c r="L95" s="1037"/>
      <c r="M95" s="1037"/>
      <c r="N95" s="178"/>
      <c r="O95" s="178"/>
      <c r="P95" s="585"/>
      <c r="Q95" s="178"/>
    </row>
    <row r="96" spans="2:20" s="62" customFormat="1" ht="28.5" customHeight="1" x14ac:dyDescent="0.25">
      <c r="B96" s="59"/>
      <c r="C96" s="598"/>
      <c r="D96" s="599"/>
      <c r="E96" s="697" t="s">
        <v>441</v>
      </c>
      <c r="F96" s="1546" t="s">
        <v>136</v>
      </c>
      <c r="G96" s="1547"/>
      <c r="H96" s="698" t="s">
        <v>137</v>
      </c>
      <c r="I96" s="699" t="s">
        <v>404</v>
      </c>
      <c r="J96" s="700">
        <f>SUM(J97:J100)</f>
        <v>26300000000</v>
      </c>
      <c r="K96" s="700">
        <f>SUM(K97:K100)</f>
        <v>28000000000</v>
      </c>
      <c r="L96" s="1039"/>
      <c r="M96" s="1039"/>
      <c r="N96" s="996"/>
      <c r="O96" s="118"/>
      <c r="P96" s="586"/>
      <c r="Q96" s="118"/>
    </row>
    <row r="97" spans="2:18" s="113" customFormat="1" x14ac:dyDescent="0.25">
      <c r="B97" s="59"/>
      <c r="C97" s="127"/>
      <c r="D97" s="128"/>
      <c r="E97" s="115"/>
      <c r="F97" s="130" t="s">
        <v>46</v>
      </c>
      <c r="G97" s="201" t="s">
        <v>138</v>
      </c>
      <c r="H97" s="602"/>
      <c r="I97" s="116" t="s">
        <v>109</v>
      </c>
      <c r="J97" s="635">
        <v>12500000000</v>
      </c>
      <c r="K97" s="635">
        <v>12500000000</v>
      </c>
      <c r="L97" s="1037"/>
      <c r="M97" s="1037"/>
      <c r="N97" s="178"/>
      <c r="O97" s="178"/>
      <c r="P97" s="585"/>
      <c r="Q97" s="178"/>
    </row>
    <row r="98" spans="2:18" s="113" customFormat="1" ht="12.75" customHeight="1" x14ac:dyDescent="0.25">
      <c r="B98" s="59"/>
      <c r="C98" s="127"/>
      <c r="D98" s="128"/>
      <c r="E98" s="115"/>
      <c r="F98" s="130" t="s">
        <v>46</v>
      </c>
      <c r="G98" s="201" t="s">
        <v>139</v>
      </c>
      <c r="H98" s="604"/>
      <c r="I98" s="116" t="s">
        <v>159</v>
      </c>
      <c r="J98" s="635">
        <v>5800000000</v>
      </c>
      <c r="K98" s="1018">
        <f>5800000000+1700000000</f>
        <v>7500000000</v>
      </c>
      <c r="L98" s="1040"/>
      <c r="M98" s="1040"/>
      <c r="N98" s="997"/>
      <c r="O98" s="178"/>
      <c r="P98" s="585"/>
      <c r="Q98" s="178"/>
    </row>
    <row r="99" spans="2:18" s="113" customFormat="1" ht="15" customHeight="1" x14ac:dyDescent="0.25">
      <c r="B99" s="59"/>
      <c r="C99" s="127"/>
      <c r="D99" s="128"/>
      <c r="E99" s="115"/>
      <c r="F99" s="130" t="s">
        <v>46</v>
      </c>
      <c r="G99" s="201" t="s">
        <v>140</v>
      </c>
      <c r="H99" s="602"/>
      <c r="I99" s="116" t="s">
        <v>111</v>
      </c>
      <c r="J99" s="635">
        <v>7500000000</v>
      </c>
      <c r="K99" s="635">
        <v>7500000000</v>
      </c>
      <c r="L99" s="1037"/>
      <c r="M99" s="1037"/>
      <c r="N99" s="178"/>
      <c r="O99" s="178"/>
      <c r="P99" s="585"/>
      <c r="Q99" s="178"/>
    </row>
    <row r="100" spans="2:18" s="192" customFormat="1" ht="15" customHeight="1" x14ac:dyDescent="0.25">
      <c r="B100" s="182"/>
      <c r="C100" s="183"/>
      <c r="D100" s="184"/>
      <c r="E100" s="185"/>
      <c r="F100" s="186"/>
      <c r="G100" s="202" t="s">
        <v>138</v>
      </c>
      <c r="H100" s="603"/>
      <c r="I100" s="203"/>
      <c r="J100" s="636">
        <v>500000000</v>
      </c>
      <c r="K100" s="636">
        <v>500000000</v>
      </c>
      <c r="L100" s="1038"/>
      <c r="M100" s="1038"/>
      <c r="N100" s="191"/>
      <c r="O100" s="191"/>
      <c r="P100" s="587" t="s">
        <v>143</v>
      </c>
      <c r="Q100" s="191">
        <v>500000000</v>
      </c>
      <c r="R100" s="192" t="s">
        <v>143</v>
      </c>
    </row>
    <row r="101" spans="2:18" s="113" customFormat="1" ht="31.5" customHeight="1" x14ac:dyDescent="0.25">
      <c r="B101" s="59"/>
      <c r="C101" s="598"/>
      <c r="D101" s="599"/>
      <c r="E101" s="697" t="s">
        <v>442</v>
      </c>
      <c r="F101" s="1546" t="s">
        <v>145</v>
      </c>
      <c r="G101" s="1547"/>
      <c r="H101" s="707" t="s">
        <v>146</v>
      </c>
      <c r="I101" s="699" t="s">
        <v>113</v>
      </c>
      <c r="J101" s="708">
        <f>SUM(J102:J110)</f>
        <v>21200000000</v>
      </c>
      <c r="K101" s="708">
        <f>SUM(K102:K110)</f>
        <v>22200000000</v>
      </c>
      <c r="L101" s="1041"/>
      <c r="M101" s="1041"/>
      <c r="N101" s="998"/>
      <c r="O101" s="112"/>
      <c r="P101" s="585"/>
      <c r="Q101" s="112"/>
    </row>
    <row r="102" spans="2:18" s="113" customFormat="1" ht="15.75" customHeight="1" x14ac:dyDescent="0.25">
      <c r="B102" s="59"/>
      <c r="C102" s="127"/>
      <c r="D102" s="128"/>
      <c r="E102" s="115"/>
      <c r="F102" s="130" t="s">
        <v>46</v>
      </c>
      <c r="G102" s="175" t="s">
        <v>147</v>
      </c>
      <c r="H102" s="602"/>
      <c r="I102" s="176" t="s">
        <v>111</v>
      </c>
      <c r="J102" s="635">
        <v>5000000000</v>
      </c>
      <c r="K102" s="635">
        <v>5000000000</v>
      </c>
      <c r="L102" s="1037"/>
      <c r="M102" s="1037"/>
      <c r="N102" s="178"/>
      <c r="O102" s="178"/>
      <c r="P102" s="585"/>
      <c r="Q102" s="178"/>
    </row>
    <row r="103" spans="2:18" s="113" customFormat="1" ht="15.75" customHeight="1" x14ac:dyDescent="0.25">
      <c r="B103" s="59"/>
      <c r="C103" s="127"/>
      <c r="D103" s="128"/>
      <c r="E103" s="115"/>
      <c r="F103" s="130" t="s">
        <v>46</v>
      </c>
      <c r="G103" s="175" t="s">
        <v>149</v>
      </c>
      <c r="H103" s="602"/>
      <c r="I103" s="176" t="s">
        <v>142</v>
      </c>
      <c r="J103" s="635">
        <v>6000000000</v>
      </c>
      <c r="K103" s="635">
        <v>6000000000</v>
      </c>
      <c r="L103" s="1037"/>
      <c r="M103" s="1037"/>
      <c r="N103" s="178"/>
      <c r="O103" s="178"/>
      <c r="P103" s="585"/>
      <c r="Q103" s="178"/>
    </row>
    <row r="104" spans="2:18" s="113" customFormat="1" x14ac:dyDescent="0.25">
      <c r="B104" s="59"/>
      <c r="C104" s="127"/>
      <c r="D104" s="128"/>
      <c r="E104" s="115"/>
      <c r="F104" s="174" t="s">
        <v>46</v>
      </c>
      <c r="G104" s="175" t="s">
        <v>150</v>
      </c>
      <c r="H104" s="602"/>
      <c r="I104" s="176" t="s">
        <v>399</v>
      </c>
      <c r="J104" s="635">
        <v>3000000000</v>
      </c>
      <c r="K104" s="635">
        <v>3000000000</v>
      </c>
      <c r="L104" s="1037"/>
      <c r="M104" s="1037"/>
      <c r="N104" s="178"/>
      <c r="O104" s="178"/>
      <c r="P104" s="585"/>
      <c r="Q104" s="178"/>
    </row>
    <row r="105" spans="2:18" s="113" customFormat="1" ht="15.75" customHeight="1" x14ac:dyDescent="0.25">
      <c r="B105" s="703"/>
      <c r="C105" s="127"/>
      <c r="D105" s="128"/>
      <c r="E105" s="129"/>
      <c r="F105" s="706" t="s">
        <v>46</v>
      </c>
      <c r="G105" s="175" t="s">
        <v>394</v>
      </c>
      <c r="H105" s="602"/>
      <c r="I105" s="176" t="s">
        <v>174</v>
      </c>
      <c r="J105" s="635">
        <v>0</v>
      </c>
      <c r="K105" s="1018">
        <v>500000000</v>
      </c>
      <c r="L105" s="1040"/>
      <c r="M105" s="1040"/>
      <c r="N105" s="997"/>
      <c r="O105" s="178"/>
      <c r="P105" s="585"/>
      <c r="Q105" s="178"/>
    </row>
    <row r="106" spans="2:18" s="113" customFormat="1" ht="15.75" customHeight="1" x14ac:dyDescent="0.25">
      <c r="B106" s="703"/>
      <c r="C106" s="127"/>
      <c r="D106" s="128"/>
      <c r="E106" s="129"/>
      <c r="F106" s="706" t="s">
        <v>46</v>
      </c>
      <c r="G106" s="175" t="s">
        <v>484</v>
      </c>
      <c r="H106" s="602"/>
      <c r="I106" s="176" t="s">
        <v>399</v>
      </c>
      <c r="J106" s="635">
        <v>0</v>
      </c>
      <c r="K106" s="1018">
        <v>500000000</v>
      </c>
      <c r="L106" s="1040"/>
      <c r="M106" s="1040"/>
      <c r="N106" s="997"/>
      <c r="O106" s="178"/>
      <c r="P106" s="585"/>
      <c r="Q106" s="178"/>
    </row>
    <row r="107" spans="2:18" s="192" customFormat="1" ht="15.75" customHeight="1" x14ac:dyDescent="0.25">
      <c r="B107" s="182"/>
      <c r="C107" s="183"/>
      <c r="D107" s="184"/>
      <c r="E107" s="206"/>
      <c r="F107" s="207" t="s">
        <v>46</v>
      </c>
      <c r="G107" s="208" t="s">
        <v>394</v>
      </c>
      <c r="H107" s="603"/>
      <c r="I107" s="189" t="s">
        <v>174</v>
      </c>
      <c r="J107" s="636">
        <v>1000000000</v>
      </c>
      <c r="K107" s="636">
        <v>1000000000</v>
      </c>
      <c r="L107" s="1038"/>
      <c r="M107" s="1038"/>
      <c r="N107" s="191"/>
      <c r="O107" s="191"/>
      <c r="P107" s="587" t="s">
        <v>151</v>
      </c>
      <c r="Q107" s="191">
        <v>1000000000</v>
      </c>
      <c r="R107" s="192" t="s">
        <v>151</v>
      </c>
    </row>
    <row r="108" spans="2:18" s="192" customFormat="1" ht="15.75" customHeight="1" x14ac:dyDescent="0.25">
      <c r="B108" s="182"/>
      <c r="C108" s="183"/>
      <c r="D108" s="184"/>
      <c r="E108" s="206"/>
      <c r="F108" s="207" t="s">
        <v>46</v>
      </c>
      <c r="G108" s="208" t="s">
        <v>152</v>
      </c>
      <c r="H108" s="603"/>
      <c r="I108" s="189" t="s">
        <v>399</v>
      </c>
      <c r="J108" s="636">
        <f>1000000000</f>
        <v>1000000000</v>
      </c>
      <c r="K108" s="636">
        <f>1000000000</f>
        <v>1000000000</v>
      </c>
      <c r="L108" s="1038"/>
      <c r="M108" s="1038"/>
      <c r="N108" s="191"/>
      <c r="O108" s="191"/>
      <c r="P108" s="587" t="s">
        <v>151</v>
      </c>
      <c r="Q108" s="191">
        <v>1000000000</v>
      </c>
      <c r="R108" s="192" t="s">
        <v>151</v>
      </c>
    </row>
    <row r="109" spans="2:18" s="192" customFormat="1" ht="15.75" customHeight="1" x14ac:dyDescent="0.25">
      <c r="B109" s="182"/>
      <c r="C109" s="183"/>
      <c r="D109" s="184"/>
      <c r="E109" s="206"/>
      <c r="F109" s="207" t="s">
        <v>46</v>
      </c>
      <c r="G109" s="208" t="s">
        <v>152</v>
      </c>
      <c r="H109" s="603"/>
      <c r="I109" s="189" t="s">
        <v>399</v>
      </c>
      <c r="J109" s="636">
        <f>2000000000</f>
        <v>2000000000</v>
      </c>
      <c r="K109" s="636">
        <f>2000000000</f>
        <v>2000000000</v>
      </c>
      <c r="L109" s="1038"/>
      <c r="M109" s="1038"/>
      <c r="N109" s="191"/>
      <c r="O109" s="191"/>
      <c r="P109" s="587" t="s">
        <v>425</v>
      </c>
      <c r="Q109" s="191">
        <v>2000000000</v>
      </c>
      <c r="R109" s="192" t="s">
        <v>425</v>
      </c>
    </row>
    <row r="110" spans="2:18" s="192" customFormat="1" ht="15.75" customHeight="1" x14ac:dyDescent="0.25">
      <c r="B110" s="182"/>
      <c r="C110" s="183"/>
      <c r="D110" s="184"/>
      <c r="E110" s="206"/>
      <c r="F110" s="207" t="s">
        <v>46</v>
      </c>
      <c r="G110" s="208" t="s">
        <v>153</v>
      </c>
      <c r="H110" s="603"/>
      <c r="I110" s="189" t="s">
        <v>399</v>
      </c>
      <c r="J110" s="636">
        <v>3200000000</v>
      </c>
      <c r="K110" s="636">
        <v>3200000000</v>
      </c>
      <c r="L110" s="1038"/>
      <c r="M110" s="1038"/>
      <c r="N110" s="191"/>
      <c r="O110" s="191"/>
      <c r="P110" s="587" t="s">
        <v>154</v>
      </c>
      <c r="Q110" s="191">
        <v>3200000000</v>
      </c>
      <c r="R110" s="192" t="s">
        <v>154</v>
      </c>
    </row>
    <row r="111" spans="2:18" s="62" customFormat="1" ht="26.25" customHeight="1" x14ac:dyDescent="0.25">
      <c r="B111" s="59"/>
      <c r="C111" s="39"/>
      <c r="D111" s="109"/>
      <c r="E111" s="88" t="s">
        <v>443</v>
      </c>
      <c r="F111" s="1579" t="s">
        <v>155</v>
      </c>
      <c r="G111" s="1580"/>
      <c r="H111" s="173" t="s">
        <v>156</v>
      </c>
      <c r="I111" s="200" t="s">
        <v>141</v>
      </c>
      <c r="J111" s="626">
        <f>SUM(J112:J113)</f>
        <v>13500000000</v>
      </c>
      <c r="K111" s="626">
        <f>SUM(K112:K113)</f>
        <v>13500000000</v>
      </c>
      <c r="L111" s="1030"/>
      <c r="M111" s="1030"/>
      <c r="N111" s="118"/>
      <c r="O111" s="118"/>
      <c r="P111" s="586"/>
      <c r="Q111" s="118"/>
    </row>
    <row r="112" spans="2:18" s="113" customFormat="1" ht="13.5" customHeight="1" x14ac:dyDescent="0.25">
      <c r="B112" s="59"/>
      <c r="C112" s="127"/>
      <c r="D112" s="128"/>
      <c r="E112" s="115"/>
      <c r="F112" s="174" t="s">
        <v>46</v>
      </c>
      <c r="G112" s="175" t="s">
        <v>157</v>
      </c>
      <c r="H112" s="602"/>
      <c r="I112" s="116" t="s">
        <v>111</v>
      </c>
      <c r="J112" s="635">
        <v>7500000000</v>
      </c>
      <c r="K112" s="635">
        <v>7500000000</v>
      </c>
      <c r="L112" s="1037"/>
      <c r="M112" s="1037"/>
      <c r="N112" s="178"/>
      <c r="O112" s="178"/>
      <c r="P112" s="585"/>
      <c r="Q112" s="178"/>
    </row>
    <row r="113" spans="2:18" s="133" customFormat="1" x14ac:dyDescent="0.25">
      <c r="B113" s="59"/>
      <c r="C113" s="194"/>
      <c r="D113" s="195"/>
      <c r="E113" s="204"/>
      <c r="F113" s="196" t="s">
        <v>46</v>
      </c>
      <c r="G113" s="209" t="s">
        <v>158</v>
      </c>
      <c r="H113" s="605"/>
      <c r="I113" s="205" t="s">
        <v>111</v>
      </c>
      <c r="J113" s="637">
        <v>6000000000</v>
      </c>
      <c r="K113" s="637">
        <v>6000000000</v>
      </c>
      <c r="L113" s="1042"/>
      <c r="M113" s="1042"/>
      <c r="N113" s="199"/>
      <c r="O113" s="199"/>
      <c r="P113" s="588"/>
      <c r="Q113" s="199"/>
    </row>
    <row r="114" spans="2:18" s="62" customFormat="1" ht="24.75" customHeight="1" x14ac:dyDescent="0.25">
      <c r="B114" s="59"/>
      <c r="C114" s="39"/>
      <c r="D114" s="109"/>
      <c r="E114" s="88" t="s">
        <v>444</v>
      </c>
      <c r="F114" s="1577" t="s">
        <v>160</v>
      </c>
      <c r="G114" s="1578"/>
      <c r="H114" s="165" t="s">
        <v>161</v>
      </c>
      <c r="I114" s="200" t="s">
        <v>400</v>
      </c>
      <c r="J114" s="630">
        <f>SUM(J115:J118)</f>
        <v>14450000000</v>
      </c>
      <c r="K114" s="630">
        <f>SUM(K115:K118)</f>
        <v>14450000000</v>
      </c>
      <c r="L114" s="1034"/>
      <c r="M114" s="1034"/>
      <c r="N114" s="147"/>
      <c r="O114" s="147"/>
      <c r="P114" s="586"/>
      <c r="Q114" s="118"/>
    </row>
    <row r="115" spans="2:18" s="113" customFormat="1" ht="15.75" customHeight="1" x14ac:dyDescent="0.25">
      <c r="B115" s="59"/>
      <c r="C115" s="127"/>
      <c r="D115" s="128"/>
      <c r="E115" s="448"/>
      <c r="F115" s="174" t="s">
        <v>46</v>
      </c>
      <c r="G115" s="139" t="s">
        <v>162</v>
      </c>
      <c r="H115" s="602"/>
      <c r="I115" s="176" t="s">
        <v>148</v>
      </c>
      <c r="J115" s="635">
        <v>7500000000</v>
      </c>
      <c r="K115" s="635">
        <v>7500000000</v>
      </c>
      <c r="L115" s="1037"/>
      <c r="M115" s="1037"/>
      <c r="N115" s="178"/>
      <c r="O115" s="178"/>
      <c r="P115" s="585"/>
      <c r="Q115" s="178"/>
    </row>
    <row r="116" spans="2:18" s="113" customFormat="1" ht="15.75" customHeight="1" x14ac:dyDescent="0.25">
      <c r="B116" s="59"/>
      <c r="C116" s="127"/>
      <c r="D116" s="128"/>
      <c r="E116" s="115"/>
      <c r="F116" s="174" t="s">
        <v>46</v>
      </c>
      <c r="G116" s="139" t="s">
        <v>163</v>
      </c>
      <c r="H116" s="602"/>
      <c r="I116" s="176" t="s">
        <v>111</v>
      </c>
      <c r="J116" s="635">
        <v>3000000000</v>
      </c>
      <c r="K116" s="635">
        <v>3000000000</v>
      </c>
      <c r="L116" s="1037"/>
      <c r="M116" s="1037"/>
      <c r="N116" s="178"/>
      <c r="O116" s="178"/>
      <c r="P116" s="585"/>
      <c r="Q116" s="178"/>
    </row>
    <row r="117" spans="2:18" s="133" customFormat="1" ht="27" customHeight="1" x14ac:dyDescent="0.25">
      <c r="B117" s="59"/>
      <c r="C117" s="194"/>
      <c r="D117" s="195"/>
      <c r="E117" s="204"/>
      <c r="F117" s="210" t="s">
        <v>46</v>
      </c>
      <c r="G117" s="211" t="s">
        <v>164</v>
      </c>
      <c r="H117" s="605"/>
      <c r="I117" s="197" t="s">
        <v>165</v>
      </c>
      <c r="J117" s="637">
        <v>3500000000</v>
      </c>
      <c r="K117" s="637">
        <v>3500000000</v>
      </c>
      <c r="L117" s="1042"/>
      <c r="M117" s="1042"/>
      <c r="N117" s="199"/>
      <c r="O117" s="199"/>
      <c r="P117" s="588"/>
      <c r="Q117" s="199"/>
    </row>
    <row r="118" spans="2:18" s="192" customFormat="1" ht="18" customHeight="1" x14ac:dyDescent="0.25">
      <c r="B118" s="182"/>
      <c r="C118" s="183"/>
      <c r="D118" s="184"/>
      <c r="E118" s="206"/>
      <c r="F118" s="212"/>
      <c r="G118" s="213" t="s">
        <v>162</v>
      </c>
      <c r="H118" s="603"/>
      <c r="I118" s="189" t="s">
        <v>395</v>
      </c>
      <c r="J118" s="636">
        <v>450000000</v>
      </c>
      <c r="K118" s="636">
        <v>450000000</v>
      </c>
      <c r="L118" s="1038"/>
      <c r="M118" s="1038"/>
      <c r="N118" s="191"/>
      <c r="O118" s="191"/>
      <c r="P118" s="587" t="s">
        <v>166</v>
      </c>
      <c r="Q118" s="191">
        <v>450000000</v>
      </c>
      <c r="R118" s="192" t="s">
        <v>166</v>
      </c>
    </row>
    <row r="119" spans="2:18" s="62" customFormat="1" ht="27" customHeight="1" x14ac:dyDescent="0.25">
      <c r="B119" s="59"/>
      <c r="C119" s="598"/>
      <c r="D119" s="599"/>
      <c r="E119" s="697" t="s">
        <v>445</v>
      </c>
      <c r="F119" s="1546" t="s">
        <v>167</v>
      </c>
      <c r="G119" s="1547"/>
      <c r="H119" s="698" t="s">
        <v>168</v>
      </c>
      <c r="I119" s="710" t="s">
        <v>405</v>
      </c>
      <c r="J119" s="711">
        <f>SUM(J120:J124)</f>
        <v>11065000000</v>
      </c>
      <c r="K119" s="711">
        <f>SUM(K120:K124)</f>
        <v>11565000000</v>
      </c>
      <c r="L119" s="1043"/>
      <c r="M119" s="1043"/>
      <c r="N119" s="999"/>
      <c r="O119" s="147"/>
      <c r="P119" s="589"/>
      <c r="Q119" s="118"/>
      <c r="R119" s="179"/>
    </row>
    <row r="120" spans="2:18" s="113" customFormat="1" x14ac:dyDescent="0.25">
      <c r="B120" s="59"/>
      <c r="C120" s="127"/>
      <c r="D120" s="128"/>
      <c r="E120" s="115"/>
      <c r="F120" s="174" t="s">
        <v>46</v>
      </c>
      <c r="G120" s="175" t="s">
        <v>150</v>
      </c>
      <c r="H120" s="602"/>
      <c r="I120" s="116" t="s">
        <v>159</v>
      </c>
      <c r="J120" s="635">
        <v>4000000000</v>
      </c>
      <c r="K120" s="635">
        <v>4000000000</v>
      </c>
      <c r="L120" s="1037"/>
      <c r="M120" s="1037"/>
      <c r="N120" s="178"/>
      <c r="O120" s="178"/>
      <c r="P120" s="585"/>
      <c r="Q120" s="178"/>
    </row>
    <row r="121" spans="2:18" s="113" customFormat="1" x14ac:dyDescent="0.25">
      <c r="B121" s="59"/>
      <c r="C121" s="127"/>
      <c r="D121" s="128"/>
      <c r="E121" s="115"/>
      <c r="F121" s="174" t="s">
        <v>46</v>
      </c>
      <c r="G121" s="175" t="s">
        <v>169</v>
      </c>
      <c r="H121" s="602"/>
      <c r="I121" s="116" t="s">
        <v>148</v>
      </c>
      <c r="J121" s="635">
        <v>6000000000</v>
      </c>
      <c r="K121" s="635">
        <v>6000000000</v>
      </c>
      <c r="L121" s="1037"/>
      <c r="M121" s="1037"/>
      <c r="N121" s="178"/>
      <c r="O121" s="178"/>
      <c r="P121" s="585"/>
      <c r="Q121" s="178"/>
    </row>
    <row r="122" spans="2:18" s="113" customFormat="1" ht="15.75" customHeight="1" x14ac:dyDescent="0.25">
      <c r="B122" s="703"/>
      <c r="C122" s="127"/>
      <c r="D122" s="128"/>
      <c r="E122" s="129"/>
      <c r="F122" s="704" t="s">
        <v>46</v>
      </c>
      <c r="G122" s="175" t="s">
        <v>170</v>
      </c>
      <c r="H122" s="602"/>
      <c r="I122" s="705" t="s">
        <v>401</v>
      </c>
      <c r="J122" s="635">
        <v>0</v>
      </c>
      <c r="K122" s="1018">
        <v>500000000</v>
      </c>
      <c r="L122" s="1040"/>
      <c r="M122" s="1040"/>
      <c r="N122" s="997"/>
      <c r="O122" s="178"/>
      <c r="P122" s="585"/>
      <c r="Q122" s="178"/>
    </row>
    <row r="123" spans="2:18" s="192" customFormat="1" ht="15.75" customHeight="1" x14ac:dyDescent="0.25">
      <c r="B123" s="182"/>
      <c r="C123" s="183"/>
      <c r="D123" s="184"/>
      <c r="E123" s="206"/>
      <c r="F123" s="212" t="s">
        <v>46</v>
      </c>
      <c r="G123" s="208" t="s">
        <v>170</v>
      </c>
      <c r="H123" s="603"/>
      <c r="I123" s="214" t="s">
        <v>401</v>
      </c>
      <c r="J123" s="636">
        <v>850000000</v>
      </c>
      <c r="K123" s="636">
        <v>850000000</v>
      </c>
      <c r="L123" s="1038"/>
      <c r="M123" s="1038"/>
      <c r="N123" s="191"/>
      <c r="O123" s="191"/>
      <c r="P123" s="587" t="s">
        <v>134</v>
      </c>
      <c r="Q123" s="191">
        <v>850000000</v>
      </c>
      <c r="R123" s="192" t="s">
        <v>134</v>
      </c>
    </row>
    <row r="124" spans="2:18" s="192" customFormat="1" ht="15.75" customHeight="1" x14ac:dyDescent="0.25">
      <c r="B124" s="182"/>
      <c r="C124" s="183"/>
      <c r="D124" s="184"/>
      <c r="E124" s="206"/>
      <c r="F124" s="212" t="s">
        <v>46</v>
      </c>
      <c r="G124" s="208" t="s">
        <v>150</v>
      </c>
      <c r="H124" s="603"/>
      <c r="I124" s="215" t="s">
        <v>402</v>
      </c>
      <c r="J124" s="636">
        <v>215000000</v>
      </c>
      <c r="K124" s="636">
        <v>215000000</v>
      </c>
      <c r="L124" s="1038"/>
      <c r="M124" s="1038"/>
      <c r="N124" s="191"/>
      <c r="O124" s="191"/>
      <c r="P124" s="587" t="s">
        <v>171</v>
      </c>
      <c r="Q124" s="191">
        <v>215000000</v>
      </c>
      <c r="R124" s="192" t="s">
        <v>171</v>
      </c>
    </row>
    <row r="125" spans="2:18" s="62" customFormat="1" ht="31.5" customHeight="1" x14ac:dyDescent="0.25">
      <c r="B125" s="59"/>
      <c r="C125" s="39"/>
      <c r="D125" s="109"/>
      <c r="E125" s="88" t="s">
        <v>446</v>
      </c>
      <c r="F125" s="1577" t="s">
        <v>172</v>
      </c>
      <c r="G125" s="1578"/>
      <c r="H125" s="173" t="s">
        <v>173</v>
      </c>
      <c r="I125" s="200" t="str">
        <f>I126</f>
        <v>0,5 Km</v>
      </c>
      <c r="J125" s="630">
        <f>J126</f>
        <v>3000000000</v>
      </c>
      <c r="K125" s="630">
        <f>K126</f>
        <v>3000000000</v>
      </c>
      <c r="L125" s="1034"/>
      <c r="M125" s="1034"/>
      <c r="N125" s="147"/>
      <c r="O125" s="147"/>
      <c r="P125" s="586"/>
      <c r="Q125" s="118"/>
    </row>
    <row r="126" spans="2:18" s="113" customFormat="1" x14ac:dyDescent="0.25">
      <c r="B126" s="59"/>
      <c r="C126" s="127"/>
      <c r="D126" s="128"/>
      <c r="E126" s="115"/>
      <c r="F126" s="130" t="s">
        <v>46</v>
      </c>
      <c r="G126" s="175" t="s">
        <v>175</v>
      </c>
      <c r="H126" s="602"/>
      <c r="I126" s="176" t="s">
        <v>144</v>
      </c>
      <c r="J126" s="627">
        <v>3000000000</v>
      </c>
      <c r="K126" s="627">
        <v>3000000000</v>
      </c>
      <c r="L126" s="1031"/>
      <c r="M126" s="1031"/>
      <c r="N126" s="126"/>
      <c r="O126" s="126"/>
      <c r="P126" s="585"/>
      <c r="Q126" s="126"/>
    </row>
    <row r="127" spans="2:18" s="113" customFormat="1" ht="29.25" customHeight="1" x14ac:dyDescent="0.25">
      <c r="B127" s="59"/>
      <c r="C127" s="39"/>
      <c r="D127" s="109"/>
      <c r="E127" s="88" t="s">
        <v>447</v>
      </c>
      <c r="F127" s="1577" t="s">
        <v>176</v>
      </c>
      <c r="G127" s="1578"/>
      <c r="H127" s="173" t="s">
        <v>177</v>
      </c>
      <c r="I127" s="200" t="str">
        <f>I128</f>
        <v>0,9 Km</v>
      </c>
      <c r="J127" s="625">
        <f>SUM(J128)</f>
        <v>5000000000</v>
      </c>
      <c r="K127" s="625">
        <f>SUM(K128)</f>
        <v>5000000000</v>
      </c>
      <c r="L127" s="1029"/>
      <c r="M127" s="1029"/>
      <c r="N127" s="112"/>
      <c r="O127" s="112"/>
      <c r="P127" s="585"/>
      <c r="Q127" s="112"/>
    </row>
    <row r="128" spans="2:18" s="113" customFormat="1" ht="15.75" customHeight="1" x14ac:dyDescent="0.25">
      <c r="B128" s="59"/>
      <c r="C128" s="127"/>
      <c r="D128" s="128"/>
      <c r="E128" s="216"/>
      <c r="F128" s="130" t="s">
        <v>46</v>
      </c>
      <c r="G128" s="175" t="s">
        <v>178</v>
      </c>
      <c r="H128" s="602"/>
      <c r="I128" s="217" t="s">
        <v>396</v>
      </c>
      <c r="J128" s="638">
        <v>5000000000</v>
      </c>
      <c r="K128" s="638">
        <v>5000000000</v>
      </c>
      <c r="L128" s="1044"/>
      <c r="M128" s="1044"/>
      <c r="N128" s="219"/>
      <c r="O128" s="219"/>
      <c r="P128" s="585"/>
      <c r="Q128" s="493"/>
    </row>
    <row r="129" spans="2:20" s="113" customFormat="1" ht="24" customHeight="1" x14ac:dyDescent="0.25">
      <c r="B129" s="59"/>
      <c r="C129" s="39"/>
      <c r="D129" s="109"/>
      <c r="E129" s="88" t="s">
        <v>389</v>
      </c>
      <c r="F129" s="1577" t="s">
        <v>179</v>
      </c>
      <c r="G129" s="1578"/>
      <c r="H129" s="173" t="s">
        <v>180</v>
      </c>
      <c r="I129" s="200" t="str">
        <f>I130</f>
        <v>1,1 Km</v>
      </c>
      <c r="J129" s="625">
        <f>SUM(J130)</f>
        <v>12000000000</v>
      </c>
      <c r="K129" s="625">
        <f>SUM(K130)</f>
        <v>12000000000</v>
      </c>
      <c r="L129" s="1029"/>
      <c r="M129" s="1029"/>
      <c r="N129" s="112"/>
      <c r="O129" s="112"/>
      <c r="P129" s="585"/>
      <c r="Q129" s="112"/>
    </row>
    <row r="130" spans="2:20" s="113" customFormat="1" ht="13.5" customHeight="1" x14ac:dyDescent="0.25">
      <c r="B130" s="59"/>
      <c r="C130" s="127"/>
      <c r="D130" s="128"/>
      <c r="E130" s="115"/>
      <c r="F130" s="130" t="s">
        <v>46</v>
      </c>
      <c r="G130" s="220" t="s">
        <v>468</v>
      </c>
      <c r="H130" s="602"/>
      <c r="I130" s="176" t="s">
        <v>406</v>
      </c>
      <c r="J130" s="635">
        <v>12000000000</v>
      </c>
      <c r="K130" s="635">
        <v>12000000000</v>
      </c>
      <c r="L130" s="1037"/>
      <c r="M130" s="1037"/>
      <c r="N130" s="178"/>
      <c r="O130" s="178"/>
      <c r="P130" s="585"/>
      <c r="Q130" s="178"/>
    </row>
    <row r="131" spans="2:20" s="62" customFormat="1" ht="27.75" customHeight="1" x14ac:dyDescent="0.25">
      <c r="B131" s="59"/>
      <c r="C131" s="39"/>
      <c r="D131" s="109"/>
      <c r="E131" s="88" t="s">
        <v>448</v>
      </c>
      <c r="F131" s="1577" t="s">
        <v>181</v>
      </c>
      <c r="G131" s="1578"/>
      <c r="H131" s="173" t="s">
        <v>182</v>
      </c>
      <c r="I131" s="200" t="s">
        <v>462</v>
      </c>
      <c r="J131" s="626">
        <f>SUM(J132:J135)</f>
        <v>8700000000</v>
      </c>
      <c r="K131" s="626">
        <f>SUM(K132:K135)</f>
        <v>8700000000</v>
      </c>
      <c r="L131" s="1030"/>
      <c r="M131" s="1030"/>
      <c r="N131" s="118"/>
      <c r="O131" s="118"/>
      <c r="P131" s="589"/>
      <c r="Q131" s="118"/>
      <c r="R131" s="179"/>
    </row>
    <row r="132" spans="2:20" s="113" customFormat="1" x14ac:dyDescent="0.25">
      <c r="B132" s="59"/>
      <c r="C132" s="127"/>
      <c r="D132" s="128"/>
      <c r="E132" s="115"/>
      <c r="F132" s="174" t="s">
        <v>46</v>
      </c>
      <c r="G132" s="175" t="s">
        <v>424</v>
      </c>
      <c r="H132" s="602"/>
      <c r="I132" s="176" t="s">
        <v>451</v>
      </c>
      <c r="J132" s="635">
        <v>3000000000</v>
      </c>
      <c r="K132" s="635">
        <v>3000000000</v>
      </c>
      <c r="L132" s="1037"/>
      <c r="M132" s="1037"/>
      <c r="N132" s="178"/>
      <c r="O132" s="178"/>
      <c r="P132" s="585"/>
      <c r="Q132" s="178"/>
    </row>
    <row r="133" spans="2:20" s="113" customFormat="1" x14ac:dyDescent="0.25">
      <c r="B133" s="59"/>
      <c r="C133" s="127"/>
      <c r="D133" s="128"/>
      <c r="E133" s="115"/>
      <c r="F133" s="174" t="s">
        <v>46</v>
      </c>
      <c r="G133" s="175" t="s">
        <v>183</v>
      </c>
      <c r="H133" s="602"/>
      <c r="I133" s="483" t="s">
        <v>395</v>
      </c>
      <c r="J133" s="635">
        <v>500000000</v>
      </c>
      <c r="K133" s="635">
        <v>500000000</v>
      </c>
      <c r="L133" s="1037"/>
      <c r="M133" s="1037"/>
      <c r="N133" s="178"/>
      <c r="O133" s="178"/>
      <c r="P133" s="585"/>
      <c r="Q133" s="178"/>
    </row>
    <row r="134" spans="2:20" s="192" customFormat="1" x14ac:dyDescent="0.25">
      <c r="B134" s="59"/>
      <c r="C134" s="183"/>
      <c r="D134" s="184"/>
      <c r="E134" s="206"/>
      <c r="F134" s="221" t="s">
        <v>46</v>
      </c>
      <c r="G134" s="208" t="s">
        <v>183</v>
      </c>
      <c r="H134" s="603"/>
      <c r="I134" s="203" t="s">
        <v>159</v>
      </c>
      <c r="J134" s="636">
        <v>4000000000</v>
      </c>
      <c r="K134" s="636">
        <v>4000000000</v>
      </c>
      <c r="L134" s="1038"/>
      <c r="M134" s="1038"/>
      <c r="N134" s="191"/>
      <c r="O134" s="191"/>
      <c r="P134" s="587" t="s">
        <v>184</v>
      </c>
      <c r="Q134" s="191">
        <v>4000000000</v>
      </c>
      <c r="R134" s="192" t="s">
        <v>184</v>
      </c>
    </row>
    <row r="135" spans="2:20" s="192" customFormat="1" x14ac:dyDescent="0.25">
      <c r="B135" s="182"/>
      <c r="C135" s="183"/>
      <c r="D135" s="184"/>
      <c r="E135" s="222"/>
      <c r="F135" s="223" t="s">
        <v>46</v>
      </c>
      <c r="G135" s="208" t="s">
        <v>183</v>
      </c>
      <c r="H135" s="606"/>
      <c r="I135" s="478" t="s">
        <v>174</v>
      </c>
      <c r="J135" s="636">
        <v>1200000000</v>
      </c>
      <c r="K135" s="636">
        <v>1200000000</v>
      </c>
      <c r="L135" s="1038"/>
      <c r="M135" s="1038"/>
      <c r="N135" s="191"/>
      <c r="O135" s="191"/>
      <c r="P135" s="587" t="s">
        <v>185</v>
      </c>
      <c r="Q135" s="191">
        <v>1200000000</v>
      </c>
      <c r="R135" s="192" t="s">
        <v>185</v>
      </c>
    </row>
    <row r="136" spans="2:20" s="29" customFormat="1" ht="26.25" customHeight="1" x14ac:dyDescent="0.25">
      <c r="B136" s="13"/>
      <c r="C136" s="39"/>
      <c r="D136" s="109"/>
      <c r="E136" s="88" t="s">
        <v>449</v>
      </c>
      <c r="F136" s="1579" t="s">
        <v>186</v>
      </c>
      <c r="G136" s="1580"/>
      <c r="H136" s="173" t="s">
        <v>187</v>
      </c>
      <c r="I136" s="224" t="s">
        <v>463</v>
      </c>
      <c r="J136" s="630">
        <f>SUM(J137:J140)</f>
        <v>11500000000</v>
      </c>
      <c r="K136" s="630">
        <f>SUM(K137:K140)</f>
        <v>11500000000</v>
      </c>
      <c r="L136" s="1034"/>
      <c r="M136" s="1034"/>
      <c r="N136" s="147"/>
      <c r="O136" s="147"/>
      <c r="P136" s="590"/>
      <c r="Q136" s="118"/>
    </row>
    <row r="137" spans="2:20" s="113" customFormat="1" ht="15.75" customHeight="1" x14ac:dyDescent="0.25">
      <c r="B137" s="59"/>
      <c r="C137" s="127"/>
      <c r="D137" s="128"/>
      <c r="E137" s="115"/>
      <c r="F137" s="225" t="s">
        <v>46</v>
      </c>
      <c r="G137" s="139" t="s">
        <v>423</v>
      </c>
      <c r="H137" s="602"/>
      <c r="I137" s="176" t="s">
        <v>111</v>
      </c>
      <c r="J137" s="639">
        <v>2000000000</v>
      </c>
      <c r="K137" s="639">
        <v>2000000000</v>
      </c>
      <c r="L137" s="1045"/>
      <c r="M137" s="1045"/>
      <c r="N137" s="227"/>
      <c r="O137" s="227"/>
      <c r="P137" s="585"/>
      <c r="Q137" s="126"/>
    </row>
    <row r="138" spans="2:20" s="113" customFormat="1" ht="15" customHeight="1" x14ac:dyDescent="0.25">
      <c r="B138" s="59"/>
      <c r="C138" s="127"/>
      <c r="D138" s="128"/>
      <c r="E138" s="115"/>
      <c r="F138" s="130" t="s">
        <v>46</v>
      </c>
      <c r="G138" s="201" t="s">
        <v>140</v>
      </c>
      <c r="H138" s="602"/>
      <c r="I138" s="116" t="s">
        <v>141</v>
      </c>
      <c r="J138" s="635">
        <v>7500000000</v>
      </c>
      <c r="K138" s="635">
        <v>7500000000</v>
      </c>
      <c r="L138" s="1037"/>
      <c r="M138" s="1037"/>
      <c r="N138" s="178"/>
      <c r="O138" s="178"/>
      <c r="P138" s="585"/>
      <c r="Q138" s="178"/>
    </row>
    <row r="139" spans="2:20" s="192" customFormat="1" ht="15" customHeight="1" x14ac:dyDescent="0.25">
      <c r="B139" s="182"/>
      <c r="C139" s="183"/>
      <c r="D139" s="184"/>
      <c r="E139" s="185"/>
      <c r="F139" s="186"/>
      <c r="G139" s="202" t="s">
        <v>188</v>
      </c>
      <c r="H139" s="603"/>
      <c r="I139" s="203" t="s">
        <v>144</v>
      </c>
      <c r="J139" s="636">
        <f>1000000000</f>
        <v>1000000000</v>
      </c>
      <c r="K139" s="636">
        <f>1000000000</f>
        <v>1000000000</v>
      </c>
      <c r="L139" s="1038"/>
      <c r="M139" s="1038"/>
      <c r="N139" s="191"/>
      <c r="O139" s="191"/>
      <c r="P139" s="587" t="s">
        <v>421</v>
      </c>
      <c r="Q139" s="191">
        <v>1000000000</v>
      </c>
      <c r="R139" s="192" t="s">
        <v>421</v>
      </c>
    </row>
    <row r="140" spans="2:20" s="192" customFormat="1" ht="15" customHeight="1" x14ac:dyDescent="0.25">
      <c r="B140" s="182"/>
      <c r="C140" s="183"/>
      <c r="D140" s="184"/>
      <c r="E140" s="185"/>
      <c r="F140" s="186"/>
      <c r="G140" s="202" t="s">
        <v>188</v>
      </c>
      <c r="H140" s="603"/>
      <c r="I140" s="203" t="s">
        <v>144</v>
      </c>
      <c r="J140" s="636">
        <f>1000000000</f>
        <v>1000000000</v>
      </c>
      <c r="K140" s="636">
        <f>1000000000</f>
        <v>1000000000</v>
      </c>
      <c r="L140" s="1038"/>
      <c r="M140" s="1038"/>
      <c r="N140" s="191"/>
      <c r="O140" s="191"/>
      <c r="P140" s="587" t="s">
        <v>422</v>
      </c>
      <c r="Q140" s="191">
        <v>1000000000</v>
      </c>
      <c r="R140" s="192" t="s">
        <v>422</v>
      </c>
    </row>
    <row r="141" spans="2:20" ht="3.75" customHeight="1" x14ac:dyDescent="0.25">
      <c r="C141" s="471"/>
      <c r="D141" s="375"/>
      <c r="E141" s="96"/>
      <c r="F141" s="472"/>
      <c r="G141" s="473"/>
      <c r="H141" s="474"/>
      <c r="I141" s="475"/>
      <c r="J141" s="640"/>
      <c r="K141" s="640"/>
      <c r="L141" s="1046"/>
      <c r="M141" s="1046"/>
      <c r="N141" s="1000"/>
      <c r="O141" s="228"/>
      <c r="P141" s="594"/>
      <c r="Q141" s="494"/>
      <c r="R141" s="229"/>
      <c r="T141" s="230"/>
    </row>
    <row r="142" spans="2:20" s="15" customFormat="1" ht="22.5" customHeight="1" x14ac:dyDescent="0.25">
      <c r="B142" s="13"/>
      <c r="C142" s="1506" t="s">
        <v>452</v>
      </c>
      <c r="D142" s="1507"/>
      <c r="E142" s="1558" t="s">
        <v>189</v>
      </c>
      <c r="F142" s="1559"/>
      <c r="G142" s="1560"/>
      <c r="H142" s="231" t="s">
        <v>190</v>
      </c>
      <c r="I142" s="232"/>
      <c r="J142" s="641">
        <f>J143+J144+J145+J146+J150+J151+J152+J153+J154+J155+J156+J160+J161+J162+J163+J164+J165+J166</f>
        <v>61485840000</v>
      </c>
      <c r="K142" s="641">
        <f>K143+K144+K145+K146+K150+K151+K152+K153+K154+K155+K156+K160+K161+K162+K163+K164+K165+K166</f>
        <v>58285840000</v>
      </c>
      <c r="L142" s="894"/>
      <c r="M142" s="894"/>
      <c r="N142" s="1001"/>
      <c r="O142" s="26"/>
      <c r="P142" s="596"/>
      <c r="Q142" s="495"/>
      <c r="R142" s="234"/>
      <c r="S142" s="21"/>
    </row>
    <row r="143" spans="2:20" s="29" customFormat="1" ht="18" customHeight="1" x14ac:dyDescent="0.25">
      <c r="B143" s="13"/>
      <c r="C143" s="49"/>
      <c r="D143" s="79"/>
      <c r="E143" s="77" t="s">
        <v>5</v>
      </c>
      <c r="F143" s="1575" t="s">
        <v>191</v>
      </c>
      <c r="G143" s="1576"/>
      <c r="H143" s="235" t="s">
        <v>192</v>
      </c>
      <c r="I143" s="236" t="s">
        <v>471</v>
      </c>
      <c r="J143" s="642">
        <v>2135760000</v>
      </c>
      <c r="K143" s="642">
        <v>2135760000</v>
      </c>
      <c r="L143" s="1047"/>
      <c r="M143" s="1047"/>
      <c r="N143" s="238"/>
      <c r="O143" s="238"/>
      <c r="P143" s="595"/>
      <c r="Q143" s="496"/>
      <c r="R143" s="148"/>
    </row>
    <row r="144" spans="2:20" s="29" customFormat="1" ht="21" customHeight="1" x14ac:dyDescent="0.25">
      <c r="B144" s="13"/>
      <c r="C144" s="49"/>
      <c r="D144" s="79"/>
      <c r="E144" s="77" t="s">
        <v>10</v>
      </c>
      <c r="F144" s="1569" t="s">
        <v>193</v>
      </c>
      <c r="G144" s="1570"/>
      <c r="H144" s="235" t="s">
        <v>194</v>
      </c>
      <c r="I144" s="236" t="s">
        <v>403</v>
      </c>
      <c r="J144" s="642">
        <v>2422200000</v>
      </c>
      <c r="K144" s="642">
        <v>2422200000</v>
      </c>
      <c r="L144" s="1047"/>
      <c r="M144" s="1047"/>
      <c r="N144" s="238"/>
      <c r="O144" s="238"/>
      <c r="P144" s="591"/>
      <c r="Q144" s="496"/>
      <c r="R144" s="63"/>
      <c r="S144" s="28"/>
    </row>
    <row r="145" spans="2:20" s="29" customFormat="1" ht="24.75" customHeight="1" x14ac:dyDescent="0.25">
      <c r="B145" s="13"/>
      <c r="C145" s="39"/>
      <c r="D145" s="140"/>
      <c r="E145" s="109" t="s">
        <v>13</v>
      </c>
      <c r="F145" s="1569" t="s">
        <v>195</v>
      </c>
      <c r="G145" s="1570"/>
      <c r="H145" s="239" t="s">
        <v>196</v>
      </c>
      <c r="I145" s="240" t="s">
        <v>472</v>
      </c>
      <c r="J145" s="643">
        <v>2632740000</v>
      </c>
      <c r="K145" s="643">
        <v>2632740000</v>
      </c>
      <c r="L145" s="1047"/>
      <c r="M145" s="1047"/>
      <c r="N145" s="238"/>
      <c r="O145" s="238"/>
      <c r="P145" s="591"/>
      <c r="Q145" s="496"/>
      <c r="R145" s="63"/>
      <c r="S145" s="242"/>
    </row>
    <row r="146" spans="2:20" s="29" customFormat="1" ht="29.25" customHeight="1" x14ac:dyDescent="0.25">
      <c r="B146" s="13"/>
      <c r="C146" s="39"/>
      <c r="D146" s="140"/>
      <c r="E146" s="109" t="s">
        <v>16</v>
      </c>
      <c r="F146" s="1569" t="s">
        <v>197</v>
      </c>
      <c r="G146" s="1570"/>
      <c r="H146" s="239" t="s">
        <v>198</v>
      </c>
      <c r="I146" s="240" t="s">
        <v>199</v>
      </c>
      <c r="J146" s="643">
        <f>SUM(J147:J149)</f>
        <v>3884440000</v>
      </c>
      <c r="K146" s="643">
        <f>SUM(K147:K149)</f>
        <v>3884440000</v>
      </c>
      <c r="L146" s="1047"/>
      <c r="M146" s="1047"/>
      <c r="N146" s="238"/>
      <c r="O146" s="238"/>
      <c r="P146" s="589"/>
      <c r="Q146" s="496"/>
      <c r="R146" s="179"/>
    </row>
    <row r="147" spans="2:20" s="306" customFormat="1" ht="16.5" customHeight="1" x14ac:dyDescent="0.25">
      <c r="B147" s="461"/>
      <c r="C147" s="462"/>
      <c r="D147" s="463"/>
      <c r="E147" s="341"/>
      <c r="F147" s="464" t="s">
        <v>46</v>
      </c>
      <c r="G147" s="460" t="s">
        <v>197</v>
      </c>
      <c r="H147" s="465"/>
      <c r="I147" s="466"/>
      <c r="J147" s="644">
        <v>2684440000</v>
      </c>
      <c r="K147" s="644">
        <v>2684440000</v>
      </c>
      <c r="L147" s="1048"/>
      <c r="M147" s="1048"/>
      <c r="N147" s="1002"/>
      <c r="O147" s="468"/>
      <c r="P147" s="585"/>
      <c r="Q147" s="497"/>
      <c r="R147" s="113"/>
    </row>
    <row r="148" spans="2:20" s="252" customFormat="1" ht="29.25" customHeight="1" x14ac:dyDescent="0.25">
      <c r="B148" s="243"/>
      <c r="C148" s="244"/>
      <c r="D148" s="245"/>
      <c r="E148" s="246"/>
      <c r="F148" s="247" t="s">
        <v>46</v>
      </c>
      <c r="G148" s="248" t="s">
        <v>337</v>
      </c>
      <c r="H148" s="249"/>
      <c r="I148" s="250"/>
      <c r="J148" s="645">
        <v>200000000</v>
      </c>
      <c r="K148" s="645">
        <v>200000000</v>
      </c>
      <c r="L148" s="1049"/>
      <c r="M148" s="1049"/>
      <c r="N148" s="1003"/>
      <c r="O148" s="251"/>
      <c r="P148" s="587" t="s">
        <v>338</v>
      </c>
      <c r="Q148" s="498">
        <v>200000000</v>
      </c>
      <c r="R148" s="192" t="s">
        <v>338</v>
      </c>
    </row>
    <row r="149" spans="2:20" s="252" customFormat="1" ht="25.5" x14ac:dyDescent="0.25">
      <c r="B149" s="243"/>
      <c r="C149" s="253"/>
      <c r="D149" s="184"/>
      <c r="E149" s="254"/>
      <c r="F149" s="255" t="s">
        <v>46</v>
      </c>
      <c r="G149" s="256" t="s">
        <v>200</v>
      </c>
      <c r="H149" s="257"/>
      <c r="I149" s="258"/>
      <c r="J149" s="646">
        <f>1000000000</f>
        <v>1000000000</v>
      </c>
      <c r="K149" s="646">
        <f>1000000000</f>
        <v>1000000000</v>
      </c>
      <c r="L149" s="1050"/>
      <c r="M149" s="1050"/>
      <c r="N149" s="260"/>
      <c r="O149" s="260"/>
      <c r="P149" s="592" t="s">
        <v>420</v>
      </c>
      <c r="Q149" s="499">
        <v>1000000000</v>
      </c>
      <c r="R149" s="261" t="s">
        <v>420</v>
      </c>
      <c r="T149" s="261"/>
    </row>
    <row r="150" spans="2:20" s="29" customFormat="1" ht="31.5" customHeight="1" x14ac:dyDescent="0.25">
      <c r="B150" s="13"/>
      <c r="C150" s="39"/>
      <c r="D150" s="140"/>
      <c r="E150" s="109" t="s">
        <v>19</v>
      </c>
      <c r="F150" s="1569" t="s">
        <v>391</v>
      </c>
      <c r="G150" s="1570"/>
      <c r="H150" s="239" t="s">
        <v>201</v>
      </c>
      <c r="I150" s="240" t="s">
        <v>474</v>
      </c>
      <c r="J150" s="643">
        <v>2770240000</v>
      </c>
      <c r="K150" s="643">
        <v>2770240000</v>
      </c>
      <c r="L150" s="1047"/>
      <c r="M150" s="1047"/>
      <c r="N150" s="238"/>
      <c r="O150" s="238"/>
      <c r="P150" s="526"/>
      <c r="Q150" s="496"/>
    </row>
    <row r="151" spans="2:20" s="29" customFormat="1" ht="30.75" customHeight="1" x14ac:dyDescent="0.25">
      <c r="B151" s="13"/>
      <c r="C151" s="39"/>
      <c r="D151" s="140"/>
      <c r="E151" s="109" t="s">
        <v>27</v>
      </c>
      <c r="F151" s="1569" t="s">
        <v>202</v>
      </c>
      <c r="G151" s="1570"/>
      <c r="H151" s="239" t="s">
        <v>203</v>
      </c>
      <c r="I151" s="240" t="s">
        <v>475</v>
      </c>
      <c r="J151" s="643">
        <v>1778480000</v>
      </c>
      <c r="K151" s="643">
        <v>1778480000</v>
      </c>
      <c r="L151" s="1047"/>
      <c r="M151" s="1047"/>
      <c r="N151" s="238"/>
      <c r="O151" s="238"/>
      <c r="P151" s="526"/>
      <c r="Q151" s="496"/>
    </row>
    <row r="152" spans="2:20" s="29" customFormat="1" ht="18" customHeight="1" x14ac:dyDescent="0.25">
      <c r="B152" s="13"/>
      <c r="C152" s="39"/>
      <c r="D152" s="140"/>
      <c r="E152" s="109" t="s">
        <v>30</v>
      </c>
      <c r="F152" s="1569" t="s">
        <v>204</v>
      </c>
      <c r="G152" s="1570"/>
      <c r="H152" s="239" t="s">
        <v>205</v>
      </c>
      <c r="I152" s="240" t="s">
        <v>476</v>
      </c>
      <c r="J152" s="643">
        <v>2292620000</v>
      </c>
      <c r="K152" s="643">
        <v>2292620000</v>
      </c>
      <c r="L152" s="1047"/>
      <c r="M152" s="1047"/>
      <c r="N152" s="238"/>
      <c r="O152" s="238"/>
      <c r="P152" s="526"/>
      <c r="Q152" s="496"/>
    </row>
    <row r="153" spans="2:20" s="29" customFormat="1" ht="19.5" customHeight="1" x14ac:dyDescent="0.25">
      <c r="B153" s="13"/>
      <c r="C153" s="39"/>
      <c r="D153" s="140"/>
      <c r="E153" s="109" t="s">
        <v>8</v>
      </c>
      <c r="F153" s="1569" t="s">
        <v>206</v>
      </c>
      <c r="G153" s="1570"/>
      <c r="H153" s="239" t="s">
        <v>207</v>
      </c>
      <c r="I153" s="240" t="s">
        <v>477</v>
      </c>
      <c r="J153" s="643">
        <v>2560360000</v>
      </c>
      <c r="K153" s="643">
        <v>2560360000</v>
      </c>
      <c r="L153" s="1047"/>
      <c r="M153" s="1047"/>
      <c r="N153" s="238"/>
      <c r="O153" s="238"/>
      <c r="P153" s="526"/>
      <c r="Q153" s="496"/>
    </row>
    <row r="154" spans="2:20" s="29" customFormat="1" ht="31.5" customHeight="1" x14ac:dyDescent="0.25">
      <c r="B154" s="13"/>
      <c r="C154" s="39"/>
      <c r="D154" s="140"/>
      <c r="E154" s="109" t="s">
        <v>22</v>
      </c>
      <c r="F154" s="1569" t="s">
        <v>208</v>
      </c>
      <c r="G154" s="1570"/>
      <c r="H154" s="239" t="s">
        <v>209</v>
      </c>
      <c r="I154" s="240" t="s">
        <v>478</v>
      </c>
      <c r="J154" s="643">
        <v>3006520000</v>
      </c>
      <c r="K154" s="643">
        <v>3006520000</v>
      </c>
      <c r="L154" s="1047"/>
      <c r="M154" s="1047"/>
      <c r="N154" s="238"/>
      <c r="O154" s="238"/>
      <c r="P154" s="526"/>
      <c r="Q154" s="496"/>
    </row>
    <row r="155" spans="2:20" s="29" customFormat="1" ht="21" customHeight="1" x14ac:dyDescent="0.25">
      <c r="B155" s="13"/>
      <c r="C155" s="39"/>
      <c r="D155" s="140"/>
      <c r="E155" s="109" t="s">
        <v>210</v>
      </c>
      <c r="F155" s="1569" t="s">
        <v>211</v>
      </c>
      <c r="G155" s="1570"/>
      <c r="H155" s="239" t="s">
        <v>212</v>
      </c>
      <c r="I155" s="240" t="s">
        <v>473</v>
      </c>
      <c r="J155" s="643">
        <v>1980000000</v>
      </c>
      <c r="K155" s="643">
        <v>1980000000</v>
      </c>
      <c r="L155" s="1047"/>
      <c r="M155" s="1047"/>
      <c r="N155" s="238"/>
      <c r="O155" s="238"/>
      <c r="P155" s="526"/>
      <c r="Q155" s="496"/>
    </row>
    <row r="156" spans="2:20" s="29" customFormat="1" ht="27.75" customHeight="1" x14ac:dyDescent="0.25">
      <c r="B156" s="13"/>
      <c r="C156" s="39"/>
      <c r="D156" s="140"/>
      <c r="E156" s="109">
        <v>11</v>
      </c>
      <c r="F156" s="1569" t="s">
        <v>213</v>
      </c>
      <c r="G156" s="1570"/>
      <c r="H156" s="239" t="s">
        <v>214</v>
      </c>
      <c r="I156" s="240" t="s">
        <v>479</v>
      </c>
      <c r="J156" s="643">
        <f>SUM(J157:J159)</f>
        <v>2022480000</v>
      </c>
      <c r="K156" s="643">
        <f>SUM(K157:K159)</f>
        <v>2022480000</v>
      </c>
      <c r="L156" s="1047"/>
      <c r="M156" s="1047"/>
      <c r="N156" s="238"/>
      <c r="O156" s="238"/>
      <c r="P156" s="526"/>
      <c r="Q156" s="496"/>
    </row>
    <row r="157" spans="2:20" s="113" customFormat="1" ht="25.5" customHeight="1" x14ac:dyDescent="0.2">
      <c r="B157" s="262"/>
      <c r="C157" s="263"/>
      <c r="D157" s="156"/>
      <c r="E157" s="157"/>
      <c r="F157" s="264" t="s">
        <v>46</v>
      </c>
      <c r="G157" s="265" t="s">
        <v>213</v>
      </c>
      <c r="H157" s="132"/>
      <c r="I157" s="266"/>
      <c r="J157" s="635">
        <v>1272480000</v>
      </c>
      <c r="K157" s="635">
        <v>1272480000</v>
      </c>
      <c r="L157" s="1037"/>
      <c r="M157" s="1037"/>
      <c r="N157" s="178"/>
      <c r="O157" s="178"/>
      <c r="P157" s="527"/>
      <c r="Q157" s="178"/>
    </row>
    <row r="158" spans="2:20" s="113" customFormat="1" ht="14.25" customHeight="1" x14ac:dyDescent="0.2">
      <c r="B158" s="262"/>
      <c r="C158" s="263"/>
      <c r="D158" s="156"/>
      <c r="E158" s="157"/>
      <c r="F158" s="264" t="s">
        <v>46</v>
      </c>
      <c r="G158" s="265" t="s">
        <v>450</v>
      </c>
      <c r="H158" s="132"/>
      <c r="I158" s="266"/>
      <c r="J158" s="635">
        <v>250000000</v>
      </c>
      <c r="K158" s="635">
        <v>250000000</v>
      </c>
      <c r="L158" s="1037"/>
      <c r="M158" s="1037"/>
      <c r="N158" s="178"/>
      <c r="O158" s="178"/>
      <c r="P158" s="527"/>
      <c r="Q158" s="178"/>
    </row>
    <row r="159" spans="2:20" s="192" customFormat="1" ht="14.25" customHeight="1" x14ac:dyDescent="0.2">
      <c r="B159" s="267"/>
      <c r="C159" s="268"/>
      <c r="D159" s="254"/>
      <c r="E159" s="269"/>
      <c r="F159" s="255" t="s">
        <v>46</v>
      </c>
      <c r="G159" s="270" t="s">
        <v>450</v>
      </c>
      <c r="H159" s="188"/>
      <c r="I159" s="271"/>
      <c r="J159" s="636">
        <v>500000000</v>
      </c>
      <c r="K159" s="636">
        <v>500000000</v>
      </c>
      <c r="L159" s="1038"/>
      <c r="M159" s="1038"/>
      <c r="N159" s="191"/>
      <c r="O159" s="191"/>
      <c r="P159" s="587" t="s">
        <v>428</v>
      </c>
      <c r="Q159" s="191">
        <v>500000000</v>
      </c>
      <c r="R159" s="192" t="s">
        <v>428</v>
      </c>
    </row>
    <row r="160" spans="2:20" s="29" customFormat="1" ht="20.25" customHeight="1" x14ac:dyDescent="0.25">
      <c r="B160" s="13"/>
      <c r="C160" s="39"/>
      <c r="D160" s="140"/>
      <c r="E160" s="109">
        <v>12</v>
      </c>
      <c r="F160" s="1569" t="s">
        <v>215</v>
      </c>
      <c r="G160" s="1570"/>
      <c r="H160" s="239" t="s">
        <v>216</v>
      </c>
      <c r="I160" s="240" t="s">
        <v>217</v>
      </c>
      <c r="J160" s="643">
        <f>500000000+300000000</f>
        <v>800000000</v>
      </c>
      <c r="K160" s="643">
        <f>500000000+300000000</f>
        <v>800000000</v>
      </c>
      <c r="L160" s="1047"/>
      <c r="M160" s="1047"/>
      <c r="N160" s="238"/>
      <c r="O160" s="238"/>
      <c r="P160" s="526"/>
      <c r="Q160" s="496"/>
    </row>
    <row r="161" spans="2:20" s="29" customFormat="1" ht="19.5" customHeight="1" x14ac:dyDescent="0.25">
      <c r="B161" s="13"/>
      <c r="C161" s="39"/>
      <c r="D161" s="140"/>
      <c r="E161" s="109">
        <v>13</v>
      </c>
      <c r="F161" s="1569" t="s">
        <v>218</v>
      </c>
      <c r="G161" s="1570"/>
      <c r="H161" s="239" t="s">
        <v>219</v>
      </c>
      <c r="I161" s="240" t="s">
        <v>393</v>
      </c>
      <c r="J161" s="643">
        <v>4000000000</v>
      </c>
      <c r="K161" s="643">
        <v>4000000000</v>
      </c>
      <c r="L161" s="1047"/>
      <c r="M161" s="1047"/>
      <c r="N161" s="238"/>
      <c r="O161" s="238"/>
      <c r="P161" s="526"/>
      <c r="Q161" s="496"/>
    </row>
    <row r="162" spans="2:20" s="29" customFormat="1" ht="24" customHeight="1" x14ac:dyDescent="0.25">
      <c r="B162" s="13"/>
      <c r="C162" s="598"/>
      <c r="D162" s="599"/>
      <c r="E162" s="684">
        <v>14</v>
      </c>
      <c r="F162" s="1571" t="s">
        <v>229</v>
      </c>
      <c r="G162" s="1572"/>
      <c r="H162" s="689" t="s">
        <v>230</v>
      </c>
      <c r="I162" s="690" t="s">
        <v>111</v>
      </c>
      <c r="J162" s="691">
        <f>2000000000-300000000</f>
        <v>1700000000</v>
      </c>
      <c r="K162" s="691">
        <v>0</v>
      </c>
      <c r="L162" s="1051"/>
      <c r="M162" s="1051"/>
      <c r="N162" s="1004"/>
      <c r="O162" s="238"/>
      <c r="P162" s="526"/>
      <c r="Q162" s="496"/>
    </row>
    <row r="163" spans="2:20" s="29" customFormat="1" ht="16.5" customHeight="1" x14ac:dyDescent="0.25">
      <c r="B163" s="13"/>
      <c r="C163" s="39"/>
      <c r="D163" s="140"/>
      <c r="E163" s="55">
        <v>15</v>
      </c>
      <c r="F163" s="1569" t="s">
        <v>225</v>
      </c>
      <c r="G163" s="1570"/>
      <c r="H163" s="272" t="s">
        <v>226</v>
      </c>
      <c r="I163" s="273" t="s">
        <v>480</v>
      </c>
      <c r="J163" s="647">
        <f>11000000000</f>
        <v>11000000000</v>
      </c>
      <c r="K163" s="647">
        <f>11000000000</f>
        <v>11000000000</v>
      </c>
      <c r="L163" s="1047"/>
      <c r="M163" s="1047"/>
      <c r="N163" s="238"/>
      <c r="O163" s="238"/>
      <c r="P163" s="526"/>
      <c r="Q163" s="496"/>
    </row>
    <row r="164" spans="2:20" s="29" customFormat="1" ht="16.5" customHeight="1" x14ac:dyDescent="0.25">
      <c r="B164" s="13"/>
      <c r="C164" s="39"/>
      <c r="D164" s="140"/>
      <c r="E164" s="55">
        <v>16</v>
      </c>
      <c r="F164" s="1569" t="s">
        <v>227</v>
      </c>
      <c r="G164" s="1570"/>
      <c r="H164" s="272" t="s">
        <v>228</v>
      </c>
      <c r="I164" s="273" t="s">
        <v>480</v>
      </c>
      <c r="J164" s="647">
        <f>11000000000</f>
        <v>11000000000</v>
      </c>
      <c r="K164" s="647">
        <f>11000000000</f>
        <v>11000000000</v>
      </c>
      <c r="L164" s="1047"/>
      <c r="M164" s="1047"/>
      <c r="N164" s="238"/>
      <c r="O164" s="238"/>
      <c r="P164" s="526"/>
      <c r="Q164" s="496"/>
      <c r="S164" s="396">
        <v>1750000000</v>
      </c>
      <c r="T164" s="29">
        <f>K164/S164</f>
        <v>6.2857142857142856</v>
      </c>
    </row>
    <row r="165" spans="2:20" s="29" customFormat="1" ht="39" customHeight="1" x14ac:dyDescent="0.25">
      <c r="B165" s="13"/>
      <c r="C165" s="39"/>
      <c r="D165" s="140"/>
      <c r="E165" s="55">
        <v>17</v>
      </c>
      <c r="F165" s="1569" t="s">
        <v>223</v>
      </c>
      <c r="G165" s="1570"/>
      <c r="H165" s="272" t="s">
        <v>415</v>
      </c>
      <c r="I165" s="713" t="s">
        <v>224</v>
      </c>
      <c r="J165" s="647">
        <v>4000000000</v>
      </c>
      <c r="K165" s="647">
        <v>4000000000</v>
      </c>
      <c r="L165" s="1047"/>
      <c r="M165" s="1047"/>
      <c r="N165" s="238"/>
      <c r="O165" s="238"/>
      <c r="P165" s="540"/>
      <c r="Q165" s="496"/>
    </row>
    <row r="166" spans="2:20" s="29" customFormat="1" ht="30" customHeight="1" x14ac:dyDescent="0.25">
      <c r="B166" s="13"/>
      <c r="C166" s="598"/>
      <c r="D166" s="599"/>
      <c r="E166" s="599">
        <v>18</v>
      </c>
      <c r="F166" s="1573" t="s">
        <v>220</v>
      </c>
      <c r="G166" s="1574"/>
      <c r="H166" s="693" t="s">
        <v>221</v>
      </c>
      <c r="I166" s="694" t="s">
        <v>222</v>
      </c>
      <c r="J166" s="695">
        <v>1500000000</v>
      </c>
      <c r="K166" s="695">
        <v>0</v>
      </c>
      <c r="L166" s="1051"/>
      <c r="M166" s="1051"/>
      <c r="N166" s="1004"/>
      <c r="O166" s="238"/>
      <c r="P166" s="526"/>
      <c r="Q166" s="496"/>
    </row>
    <row r="167" spans="2:20" ht="4.5" customHeight="1" x14ac:dyDescent="0.25">
      <c r="C167" s="275"/>
      <c r="D167" s="276"/>
      <c r="E167" s="276"/>
      <c r="F167" s="1540"/>
      <c r="G167" s="1541"/>
      <c r="H167" s="279"/>
      <c r="I167" s="280"/>
      <c r="J167" s="648"/>
      <c r="K167" s="648"/>
      <c r="L167" s="1027"/>
      <c r="M167" s="1027"/>
      <c r="N167" s="993"/>
      <c r="O167" s="101"/>
      <c r="P167" s="528"/>
      <c r="Q167" s="491"/>
    </row>
    <row r="168" spans="2:20" s="15" customFormat="1" ht="32.25" customHeight="1" x14ac:dyDescent="0.25">
      <c r="B168" s="13"/>
      <c r="C168" s="1501" t="s">
        <v>453</v>
      </c>
      <c r="D168" s="1502"/>
      <c r="E168" s="1558" t="s">
        <v>231</v>
      </c>
      <c r="F168" s="1559"/>
      <c r="G168" s="1560"/>
      <c r="H168" s="231" t="s">
        <v>232</v>
      </c>
      <c r="I168" s="282"/>
      <c r="J168" s="649">
        <f>J170+J169+J171</f>
        <v>1850000000</v>
      </c>
      <c r="K168" s="649">
        <f>K170+K169+K171</f>
        <v>1850000000</v>
      </c>
      <c r="L168" s="901"/>
      <c r="M168" s="901"/>
      <c r="N168" s="1005"/>
      <c r="O168" s="104"/>
      <c r="P168" s="529"/>
      <c r="Q168" s="14"/>
      <c r="R168" s="17"/>
    </row>
    <row r="169" spans="2:20" s="29" customFormat="1" ht="16.5" customHeight="1" x14ac:dyDescent="0.25">
      <c r="B169" s="13"/>
      <c r="C169" s="39"/>
      <c r="D169" s="140"/>
      <c r="E169" s="109" t="s">
        <v>5</v>
      </c>
      <c r="F169" s="1567" t="s">
        <v>233</v>
      </c>
      <c r="G169" s="1568"/>
      <c r="H169" s="284" t="s">
        <v>234</v>
      </c>
      <c r="I169" s="285">
        <v>1</v>
      </c>
      <c r="J169" s="650">
        <v>1200000000</v>
      </c>
      <c r="K169" s="650">
        <v>1200000000</v>
      </c>
      <c r="L169" s="1017"/>
      <c r="M169" s="1017"/>
      <c r="N169" s="1006"/>
      <c r="O169" s="7"/>
      <c r="P169" s="530"/>
      <c r="Q169" s="976"/>
    </row>
    <row r="170" spans="2:20" s="82" customFormat="1" ht="17.25" customHeight="1" x14ac:dyDescent="0.25">
      <c r="B170" s="59"/>
      <c r="C170" s="39"/>
      <c r="D170" s="140"/>
      <c r="E170" s="109" t="s">
        <v>10</v>
      </c>
      <c r="F170" s="1565" t="s">
        <v>235</v>
      </c>
      <c r="G170" s="1566"/>
      <c r="H170" s="284" t="s">
        <v>234</v>
      </c>
      <c r="I170" s="285">
        <v>1</v>
      </c>
      <c r="J170" s="650">
        <v>350000000</v>
      </c>
      <c r="K170" s="650">
        <v>350000000</v>
      </c>
      <c r="L170" s="1017"/>
      <c r="M170" s="1017"/>
      <c r="N170" s="1006"/>
      <c r="O170" s="7"/>
      <c r="P170" s="530"/>
      <c r="Q170" s="976"/>
      <c r="R170" s="136"/>
    </row>
    <row r="171" spans="2:20" s="29" customFormat="1" ht="27.75" customHeight="1" x14ac:dyDescent="0.25">
      <c r="B171" s="13"/>
      <c r="C171" s="39"/>
      <c r="D171" s="140"/>
      <c r="E171" s="109" t="s">
        <v>13</v>
      </c>
      <c r="F171" s="1550" t="s">
        <v>236</v>
      </c>
      <c r="G171" s="1551"/>
      <c r="H171" s="297" t="s">
        <v>237</v>
      </c>
      <c r="I171" s="477">
        <v>1</v>
      </c>
      <c r="J171" s="650">
        <v>300000000</v>
      </c>
      <c r="K171" s="650">
        <v>300000000</v>
      </c>
      <c r="L171" s="1017"/>
      <c r="M171" s="1017"/>
      <c r="N171" s="1006"/>
      <c r="O171" s="7"/>
      <c r="P171" s="530"/>
      <c r="Q171" s="976"/>
    </row>
    <row r="172" spans="2:20" ht="3" customHeight="1" x14ac:dyDescent="0.25">
      <c r="C172" s="275"/>
      <c r="D172" s="276"/>
      <c r="E172" s="276"/>
      <c r="F172" s="1540"/>
      <c r="G172" s="1541"/>
      <c r="H172" s="279"/>
      <c r="I172" s="289"/>
      <c r="J172" s="651"/>
      <c r="K172" s="651"/>
      <c r="L172" s="1052"/>
      <c r="M172" s="1052"/>
      <c r="N172" s="1007"/>
      <c r="P172" s="531"/>
    </row>
    <row r="173" spans="2:20" s="29" customFormat="1" ht="33.75" customHeight="1" x14ac:dyDescent="0.25">
      <c r="B173" s="13"/>
      <c r="C173" s="1506" t="s">
        <v>454</v>
      </c>
      <c r="D173" s="1507"/>
      <c r="E173" s="1558" t="s">
        <v>238</v>
      </c>
      <c r="F173" s="1559"/>
      <c r="G173" s="1560"/>
      <c r="H173" s="231" t="s">
        <v>239</v>
      </c>
      <c r="I173" s="282"/>
      <c r="J173" s="652">
        <f>J174+J179+J175+J177</f>
        <v>7000000000</v>
      </c>
      <c r="K173" s="652">
        <f>K174+K179+K175+K177</f>
        <v>7000000000</v>
      </c>
      <c r="L173" s="904"/>
      <c r="M173" s="904"/>
      <c r="N173" s="1008"/>
      <c r="O173" s="32"/>
      <c r="P173" s="529"/>
      <c r="Q173" s="486"/>
      <c r="T173" s="145"/>
    </row>
    <row r="174" spans="2:20" s="29" customFormat="1" ht="27.75" customHeight="1" x14ac:dyDescent="0.25">
      <c r="B174" s="13"/>
      <c r="C174" s="39"/>
      <c r="D174" s="140"/>
      <c r="E174" s="77" t="s">
        <v>5</v>
      </c>
      <c r="F174" s="1567" t="s">
        <v>240</v>
      </c>
      <c r="G174" s="1568"/>
      <c r="H174" s="293" t="s">
        <v>241</v>
      </c>
      <c r="I174" s="294">
        <v>1</v>
      </c>
      <c r="J174" s="653">
        <v>500000000</v>
      </c>
      <c r="K174" s="653">
        <v>500000000</v>
      </c>
      <c r="L174" s="1053"/>
      <c r="M174" s="1053"/>
      <c r="N174" s="296"/>
      <c r="O174" s="296"/>
      <c r="P174" s="532"/>
      <c r="Q174" s="501"/>
      <c r="T174" s="145"/>
    </row>
    <row r="175" spans="2:20" s="29" customFormat="1" ht="23.25" customHeight="1" x14ac:dyDescent="0.25">
      <c r="B175" s="13"/>
      <c r="C175" s="39"/>
      <c r="D175" s="140"/>
      <c r="E175" s="109" t="s">
        <v>10</v>
      </c>
      <c r="F175" s="1556" t="s">
        <v>242</v>
      </c>
      <c r="G175" s="1557"/>
      <c r="H175" s="297" t="s">
        <v>243</v>
      </c>
      <c r="I175" s="298" t="s">
        <v>244</v>
      </c>
      <c r="J175" s="654">
        <f>SUM(J176:J176)</f>
        <v>300000000</v>
      </c>
      <c r="K175" s="654">
        <f>SUM(K176:K176)</f>
        <v>300000000</v>
      </c>
      <c r="L175" s="1053"/>
      <c r="M175" s="1053"/>
      <c r="N175" s="296"/>
      <c r="O175" s="296"/>
      <c r="P175" s="533"/>
      <c r="Q175" s="501"/>
      <c r="T175" s="145"/>
    </row>
    <row r="176" spans="2:20" s="306" customFormat="1" ht="27" customHeight="1" x14ac:dyDescent="0.25">
      <c r="B176" s="13"/>
      <c r="C176" s="300"/>
      <c r="D176" s="156"/>
      <c r="E176" s="156"/>
      <c r="F176" s="301" t="s">
        <v>46</v>
      </c>
      <c r="G176" s="302" t="s">
        <v>245</v>
      </c>
      <c r="H176" s="303"/>
      <c r="I176" s="1" t="s">
        <v>244</v>
      </c>
      <c r="J176" s="655">
        <v>300000000</v>
      </c>
      <c r="K176" s="655">
        <v>300000000</v>
      </c>
      <c r="L176" s="1054"/>
      <c r="M176" s="1054"/>
      <c r="N176" s="305"/>
      <c r="O176" s="305"/>
      <c r="P176" s="534"/>
      <c r="Q176" s="502"/>
      <c r="T176" s="307"/>
    </row>
    <row r="177" spans="2:20" s="29" customFormat="1" ht="25.5" customHeight="1" x14ac:dyDescent="0.25">
      <c r="B177" s="13"/>
      <c r="C177" s="39"/>
      <c r="D177" s="140"/>
      <c r="E177" s="109" t="s">
        <v>13</v>
      </c>
      <c r="F177" s="1550" t="s">
        <v>246</v>
      </c>
      <c r="G177" s="1551"/>
      <c r="H177" s="297" t="s">
        <v>247</v>
      </c>
      <c r="I177" s="298" t="s">
        <v>465</v>
      </c>
      <c r="J177" s="654">
        <f>SUM(J178:J178)</f>
        <v>6000000000</v>
      </c>
      <c r="K177" s="654">
        <f>SUM(K178:K178)</f>
        <v>6000000000</v>
      </c>
      <c r="L177" s="1053"/>
      <c r="M177" s="1053"/>
      <c r="N177" s="296"/>
      <c r="O177" s="296"/>
      <c r="P177" s="533"/>
      <c r="Q177" s="501"/>
      <c r="T177" s="145"/>
    </row>
    <row r="178" spans="2:20" s="306" customFormat="1" ht="24.75" customHeight="1" x14ac:dyDescent="0.25">
      <c r="B178" s="13"/>
      <c r="C178" s="300"/>
      <c r="D178" s="156"/>
      <c r="E178" s="156"/>
      <c r="F178" s="301" t="s">
        <v>46</v>
      </c>
      <c r="G178" s="302" t="s">
        <v>249</v>
      </c>
      <c r="H178" s="303"/>
      <c r="I178" s="1" t="s">
        <v>248</v>
      </c>
      <c r="J178" s="655">
        <v>6000000000</v>
      </c>
      <c r="K178" s="655">
        <v>6000000000</v>
      </c>
      <c r="L178" s="1054"/>
      <c r="M178" s="1054"/>
      <c r="N178" s="305"/>
      <c r="O178" s="305"/>
      <c r="P178" s="534"/>
      <c r="Q178" s="502"/>
      <c r="T178" s="307"/>
    </row>
    <row r="179" spans="2:20" s="29" customFormat="1" ht="21.75" customHeight="1" x14ac:dyDescent="0.25">
      <c r="B179" s="13"/>
      <c r="C179" s="39"/>
      <c r="D179" s="140"/>
      <c r="E179" s="109" t="s">
        <v>16</v>
      </c>
      <c r="F179" s="1556" t="s">
        <v>250</v>
      </c>
      <c r="G179" s="1557"/>
      <c r="H179" s="297" t="s">
        <v>251</v>
      </c>
      <c r="I179" s="294">
        <v>1</v>
      </c>
      <c r="J179" s="654">
        <v>200000000</v>
      </c>
      <c r="K179" s="654">
        <v>200000000</v>
      </c>
      <c r="L179" s="1053"/>
      <c r="M179" s="1053"/>
      <c r="N179" s="296"/>
      <c r="O179" s="296"/>
      <c r="P179" s="532"/>
      <c r="Q179" s="501"/>
      <c r="T179" s="145"/>
    </row>
    <row r="180" spans="2:20" ht="3" customHeight="1" x14ac:dyDescent="0.25">
      <c r="C180" s="275"/>
      <c r="D180" s="276"/>
      <c r="E180" s="276"/>
      <c r="F180" s="310"/>
      <c r="G180" s="287"/>
      <c r="H180" s="288"/>
      <c r="I180" s="311"/>
      <c r="J180" s="656"/>
      <c r="K180" s="656"/>
      <c r="L180" s="1055"/>
      <c r="M180" s="1055"/>
      <c r="N180" s="1009"/>
      <c r="O180" s="308"/>
      <c r="P180" s="535"/>
      <c r="Q180" s="503"/>
      <c r="T180" s="230"/>
    </row>
    <row r="181" spans="2:20" s="15" customFormat="1" ht="34.5" customHeight="1" x14ac:dyDescent="0.25">
      <c r="B181" s="13"/>
      <c r="C181" s="1508" t="s">
        <v>455</v>
      </c>
      <c r="D181" s="1509"/>
      <c r="E181" s="1558" t="s">
        <v>252</v>
      </c>
      <c r="F181" s="1559"/>
      <c r="G181" s="1560"/>
      <c r="H181" s="231" t="s">
        <v>253</v>
      </c>
      <c r="I181" s="282"/>
      <c r="J181" s="649">
        <f>J182+J186+J189+J192+J195+J199+J202+J205+J209+J212+J213+J216+J217+J218+J219+J220</f>
        <v>3526082971</v>
      </c>
      <c r="K181" s="649">
        <f>K182+K186+K189+K192+K195+K199+K202+K205+K209+K212+K213+K216+K217+K218+K219+K220</f>
        <v>2750000000</v>
      </c>
      <c r="L181" s="649">
        <f>L182+L186+L189+L192+L195+L199+L202+L205+L209+L212+L213+L216+L217+L218+L219+L220</f>
        <v>36350000000</v>
      </c>
      <c r="M181" s="649">
        <f>M182+M186+M189+M192+M195+M199+M202+M205+M209+M212+M213+M216+M217+M218+M219+M220</f>
        <v>36350000000</v>
      </c>
      <c r="N181" s="1005"/>
      <c r="O181" s="104"/>
      <c r="P181" s="1065"/>
      <c r="Q181" s="14"/>
      <c r="R181" s="16"/>
      <c r="S181" s="21">
        <v>42276082971</v>
      </c>
    </row>
    <row r="182" spans="2:20" s="62" customFormat="1" ht="20.25" customHeight="1" x14ac:dyDescent="0.25">
      <c r="B182" s="59"/>
      <c r="C182" s="313"/>
      <c r="D182" s="314"/>
      <c r="E182" s="315" t="s">
        <v>5</v>
      </c>
      <c r="F182" s="1561" t="s">
        <v>254</v>
      </c>
      <c r="G182" s="1562"/>
      <c r="H182" s="316" t="s">
        <v>255</v>
      </c>
      <c r="I182" s="317"/>
      <c r="J182" s="657">
        <f>SUM(J183:J185)</f>
        <v>0</v>
      </c>
      <c r="K182" s="657">
        <f>SUM(K183:K185)</f>
        <v>0</v>
      </c>
      <c r="L182" s="657">
        <f>SUM(L183:L185)</f>
        <v>10935000000</v>
      </c>
      <c r="M182" s="657">
        <f>SUM(M183:M185)</f>
        <v>10935000000</v>
      </c>
      <c r="N182" s="319"/>
      <c r="O182" s="319"/>
      <c r="P182" s="541"/>
      <c r="Q182" s="504"/>
      <c r="R182" s="63"/>
    </row>
    <row r="183" spans="2:20" s="113" customFormat="1" ht="17.25" customHeight="1" x14ac:dyDescent="0.25">
      <c r="B183" s="59"/>
      <c r="C183" s="320"/>
      <c r="D183" s="321"/>
      <c r="E183" s="322"/>
      <c r="F183" s="64" t="s">
        <v>46</v>
      </c>
      <c r="G183" s="679" t="s">
        <v>256</v>
      </c>
      <c r="H183" s="544" t="s">
        <v>257</v>
      </c>
      <c r="I183" s="324">
        <v>7.0000000000000007E-2</v>
      </c>
      <c r="J183" s="658"/>
      <c r="K183" s="658">
        <v>0</v>
      </c>
      <c r="L183" s="658">
        <f>10000000000+635000000</f>
        <v>10635000000</v>
      </c>
      <c r="M183" s="658">
        <f>10000000000+635000000</f>
        <v>10635000000</v>
      </c>
      <c r="N183" s="67"/>
      <c r="O183" s="67"/>
      <c r="P183" s="542"/>
      <c r="Q183" s="490"/>
      <c r="R183" s="151"/>
    </row>
    <row r="184" spans="2:20" s="113" customFormat="1" ht="24" customHeight="1" x14ac:dyDescent="0.2">
      <c r="B184" s="59"/>
      <c r="C184" s="320"/>
      <c r="D184" s="321"/>
      <c r="E184" s="322"/>
      <c r="F184" s="64" t="s">
        <v>46</v>
      </c>
      <c r="G184" s="679" t="s">
        <v>258</v>
      </c>
      <c r="H184" s="326" t="s">
        <v>259</v>
      </c>
      <c r="I184" s="327">
        <v>1</v>
      </c>
      <c r="J184" s="616"/>
      <c r="K184" s="616">
        <v>0</v>
      </c>
      <c r="L184" s="616">
        <v>300000000</v>
      </c>
      <c r="M184" s="616">
        <v>300000000</v>
      </c>
      <c r="N184" s="67"/>
      <c r="O184" s="67"/>
      <c r="P184" s="514"/>
      <c r="Q184" s="490"/>
      <c r="R184" s="151"/>
    </row>
    <row r="185" spans="2:20" s="113" customFormat="1" ht="15.75" hidden="1" customHeight="1" x14ac:dyDescent="0.2">
      <c r="B185" s="59"/>
      <c r="C185" s="320"/>
      <c r="D185" s="321"/>
      <c r="E185" s="322"/>
      <c r="F185" s="64" t="s">
        <v>46</v>
      </c>
      <c r="G185" s="323" t="s">
        <v>260</v>
      </c>
      <c r="H185" s="328" t="s">
        <v>470</v>
      </c>
      <c r="I185" s="327">
        <v>1</v>
      </c>
      <c r="J185" s="658">
        <v>0</v>
      </c>
      <c r="K185" s="658"/>
      <c r="L185" s="1025"/>
      <c r="M185" s="1025"/>
      <c r="N185" s="67"/>
      <c r="O185" s="67"/>
      <c r="P185" s="514"/>
      <c r="Q185" s="490"/>
      <c r="R185" s="151"/>
    </row>
    <row r="186" spans="2:20" s="62" customFormat="1" ht="28.5" customHeight="1" x14ac:dyDescent="0.25">
      <c r="B186" s="59"/>
      <c r="C186" s="78"/>
      <c r="D186" s="45"/>
      <c r="E186" s="329" t="s">
        <v>10</v>
      </c>
      <c r="F186" s="1563" t="s">
        <v>261</v>
      </c>
      <c r="G186" s="1564"/>
      <c r="H186" s="74" t="s">
        <v>262</v>
      </c>
      <c r="I186" s="330"/>
      <c r="J186" s="659">
        <f>SUM(J187:J188)</f>
        <v>0</v>
      </c>
      <c r="K186" s="659">
        <f>SUM(K187:K188)</f>
        <v>0</v>
      </c>
      <c r="L186" s="659">
        <f>SUM(L187:L188)</f>
        <v>5175000000</v>
      </c>
      <c r="M186" s="659">
        <f>SUM(M187:M188)</f>
        <v>5175000000</v>
      </c>
      <c r="N186" s="319"/>
      <c r="O186" s="319"/>
      <c r="P186" s="543"/>
      <c r="Q186" s="504"/>
      <c r="R186" s="63"/>
    </row>
    <row r="187" spans="2:20" s="113" customFormat="1" ht="15.75" customHeight="1" x14ac:dyDescent="0.2">
      <c r="B187" s="59"/>
      <c r="C187" s="320"/>
      <c r="D187" s="321"/>
      <c r="E187" s="322"/>
      <c r="F187" s="64" t="s">
        <v>46</v>
      </c>
      <c r="G187" s="679" t="s">
        <v>408</v>
      </c>
      <c r="H187" s="326" t="s">
        <v>263</v>
      </c>
      <c r="I187" s="327">
        <v>0.57999999999999996</v>
      </c>
      <c r="J187" s="616">
        <v>0</v>
      </c>
      <c r="K187" s="616">
        <v>0</v>
      </c>
      <c r="L187" s="616">
        <f>5000000000</f>
        <v>5000000000</v>
      </c>
      <c r="M187" s="616">
        <f>5000000000</f>
        <v>5000000000</v>
      </c>
      <c r="N187" s="67"/>
      <c r="O187" s="67"/>
      <c r="P187" s="514"/>
      <c r="Q187" s="490"/>
      <c r="R187" s="151"/>
    </row>
    <row r="188" spans="2:20" s="113" customFormat="1" ht="27.75" customHeight="1" x14ac:dyDescent="0.2">
      <c r="B188" s="59"/>
      <c r="C188" s="320"/>
      <c r="D188" s="321"/>
      <c r="E188" s="322"/>
      <c r="F188" s="64" t="s">
        <v>46</v>
      </c>
      <c r="G188" s="679" t="s">
        <v>407</v>
      </c>
      <c r="H188" s="326" t="s">
        <v>264</v>
      </c>
      <c r="I188" s="327">
        <v>1</v>
      </c>
      <c r="J188" s="616">
        <v>0</v>
      </c>
      <c r="K188" s="616">
        <v>0</v>
      </c>
      <c r="L188" s="616">
        <v>175000000</v>
      </c>
      <c r="M188" s="616">
        <v>175000000</v>
      </c>
      <c r="N188" s="67"/>
      <c r="O188" s="67"/>
      <c r="P188" s="514"/>
      <c r="Q188" s="490"/>
      <c r="R188" s="151"/>
    </row>
    <row r="189" spans="2:20" s="62" customFormat="1" ht="27" customHeight="1" x14ac:dyDescent="0.25">
      <c r="B189" s="59"/>
      <c r="C189" s="827"/>
      <c r="D189" s="828"/>
      <c r="E189" s="829" t="s">
        <v>13</v>
      </c>
      <c r="F189" s="1552" t="s">
        <v>265</v>
      </c>
      <c r="G189" s="1553"/>
      <c r="H189" s="830" t="s">
        <v>464</v>
      </c>
      <c r="I189" s="831"/>
      <c r="J189" s="832">
        <f>SUM(J190:J191)</f>
        <v>0</v>
      </c>
      <c r="K189" s="832">
        <f>SUM(K190:K191)</f>
        <v>0</v>
      </c>
      <c r="L189" s="832">
        <f>SUM(L190:L191)</f>
        <v>1000000000</v>
      </c>
      <c r="M189" s="832">
        <f>SUM(M190:M191)</f>
        <v>500000000</v>
      </c>
      <c r="N189" s="1010"/>
      <c r="O189" s="319"/>
      <c r="P189" s="543"/>
      <c r="Q189" s="504"/>
      <c r="R189" s="63"/>
    </row>
    <row r="190" spans="2:20" s="62" customFormat="1" ht="25.5" customHeight="1" x14ac:dyDescent="0.25">
      <c r="B190" s="59"/>
      <c r="C190" s="78"/>
      <c r="D190" s="45"/>
      <c r="E190" s="333"/>
      <c r="F190" s="301" t="s">
        <v>46</v>
      </c>
      <c r="G190" s="679" t="s">
        <v>266</v>
      </c>
      <c r="H190" s="678" t="s">
        <v>267</v>
      </c>
      <c r="I190" s="68">
        <v>1</v>
      </c>
      <c r="J190" s="616">
        <v>0</v>
      </c>
      <c r="K190" s="616">
        <v>0</v>
      </c>
      <c r="L190" s="616">
        <v>500000000</v>
      </c>
      <c r="M190" s="616">
        <v>500000000</v>
      </c>
      <c r="N190" s="67"/>
      <c r="O190" s="67"/>
      <c r="P190" s="514"/>
      <c r="Q190" s="490"/>
      <c r="R190" s="63"/>
    </row>
    <row r="191" spans="2:20" s="229" customFormat="1" ht="21" customHeight="1" x14ac:dyDescent="0.25">
      <c r="B191" s="59"/>
      <c r="C191" s="334"/>
      <c r="D191" s="335"/>
      <c r="E191" s="336"/>
      <c r="F191" s="301" t="s">
        <v>46</v>
      </c>
      <c r="G191" s="679" t="s">
        <v>268</v>
      </c>
      <c r="H191" s="678" t="s">
        <v>269</v>
      </c>
      <c r="I191" s="68">
        <v>1</v>
      </c>
      <c r="J191" s="616">
        <v>0</v>
      </c>
      <c r="K191" s="616">
        <v>0</v>
      </c>
      <c r="L191" s="616">
        <v>500000000</v>
      </c>
      <c r="M191" s="616">
        <v>0</v>
      </c>
      <c r="N191" s="67"/>
      <c r="O191" s="67"/>
      <c r="P191" s="514"/>
      <c r="Q191" s="490"/>
      <c r="R191" s="309"/>
    </row>
    <row r="192" spans="2:20" s="29" customFormat="1" ht="26.25" customHeight="1" x14ac:dyDescent="0.25">
      <c r="B192" s="13"/>
      <c r="C192" s="834"/>
      <c r="D192" s="599"/>
      <c r="E192" s="599" t="s">
        <v>16</v>
      </c>
      <c r="F192" s="1554" t="s">
        <v>270</v>
      </c>
      <c r="G192" s="1555"/>
      <c r="H192" s="835" t="s">
        <v>271</v>
      </c>
      <c r="I192" s="836"/>
      <c r="J192" s="615">
        <f>J193+J194</f>
        <v>0</v>
      </c>
      <c r="K192" s="615">
        <f>K193+K194</f>
        <v>0</v>
      </c>
      <c r="L192" s="615">
        <f>L193+L194</f>
        <v>1045000000</v>
      </c>
      <c r="M192" s="615">
        <f>M193+M194</f>
        <v>1545000000</v>
      </c>
      <c r="N192" s="1011"/>
      <c r="O192" s="61"/>
      <c r="P192" s="536"/>
      <c r="Q192" s="489"/>
      <c r="R192" s="63"/>
    </row>
    <row r="193" spans="2:18" s="29" customFormat="1" ht="27" customHeight="1" x14ac:dyDescent="0.25">
      <c r="B193" s="13"/>
      <c r="C193" s="87"/>
      <c r="D193" s="109"/>
      <c r="E193" s="109"/>
      <c r="F193" s="301" t="s">
        <v>46</v>
      </c>
      <c r="G193" s="679" t="s">
        <v>272</v>
      </c>
      <c r="H193" s="678" t="s">
        <v>273</v>
      </c>
      <c r="I193" s="436">
        <v>1</v>
      </c>
      <c r="J193" s="618">
        <v>0</v>
      </c>
      <c r="K193" s="618">
        <v>0</v>
      </c>
      <c r="L193" s="618">
        <v>1000000000</v>
      </c>
      <c r="M193" s="618">
        <f>1000000000+500000000</f>
        <v>1500000000</v>
      </c>
      <c r="N193" s="67"/>
      <c r="O193" s="67"/>
      <c r="P193" s="537"/>
      <c r="Q193" s="490"/>
      <c r="R193" s="63"/>
    </row>
    <row r="194" spans="2:18" s="29" customFormat="1" ht="27" customHeight="1" x14ac:dyDescent="0.25">
      <c r="B194" s="13"/>
      <c r="C194" s="87"/>
      <c r="D194" s="109"/>
      <c r="E194" s="109"/>
      <c r="F194" s="301" t="s">
        <v>46</v>
      </c>
      <c r="G194" s="679" t="s">
        <v>274</v>
      </c>
      <c r="H194" s="678" t="s">
        <v>274</v>
      </c>
      <c r="I194" s="68">
        <v>1</v>
      </c>
      <c r="J194" s="616">
        <v>0</v>
      </c>
      <c r="K194" s="616">
        <v>0</v>
      </c>
      <c r="L194" s="616">
        <v>45000000</v>
      </c>
      <c r="M194" s="616">
        <v>45000000</v>
      </c>
      <c r="N194" s="67"/>
      <c r="O194" s="67"/>
      <c r="P194" s="514"/>
      <c r="Q194" s="490"/>
      <c r="R194" s="63"/>
    </row>
    <row r="195" spans="2:18" s="62" customFormat="1" ht="31.5" customHeight="1" x14ac:dyDescent="0.25">
      <c r="B195" s="59"/>
      <c r="C195" s="78"/>
      <c r="D195" s="45"/>
      <c r="E195" s="329" t="s">
        <v>19</v>
      </c>
      <c r="F195" s="1548" t="s">
        <v>275</v>
      </c>
      <c r="G195" s="1549"/>
      <c r="H195" s="433" t="s">
        <v>276</v>
      </c>
      <c r="I195" s="435"/>
      <c r="J195" s="660">
        <f>SUM(J196:J198)</f>
        <v>0</v>
      </c>
      <c r="K195" s="660">
        <f>SUM(K196:K198)</f>
        <v>0</v>
      </c>
      <c r="L195" s="660">
        <f>SUM(L196:L198)</f>
        <v>8750000000</v>
      </c>
      <c r="M195" s="660">
        <f>SUM(M196:M198)</f>
        <v>8750000000</v>
      </c>
      <c r="N195" s="61"/>
      <c r="O195" s="61"/>
      <c r="P195" s="536"/>
      <c r="Q195" s="489"/>
      <c r="R195" s="63"/>
    </row>
    <row r="196" spans="2:18" s="62" customFormat="1" ht="15.75" customHeight="1" x14ac:dyDescent="0.25">
      <c r="B196" s="59"/>
      <c r="C196" s="78"/>
      <c r="D196" s="45"/>
      <c r="E196" s="333"/>
      <c r="F196" s="64" t="s">
        <v>46</v>
      </c>
      <c r="G196" s="679" t="s">
        <v>277</v>
      </c>
      <c r="H196" s="678" t="s">
        <v>278</v>
      </c>
      <c r="I196" s="435">
        <v>1</v>
      </c>
      <c r="J196" s="616">
        <v>0</v>
      </c>
      <c r="K196" s="616">
        <v>0</v>
      </c>
      <c r="L196" s="616">
        <v>8405000000</v>
      </c>
      <c r="M196" s="616">
        <v>8405000000</v>
      </c>
      <c r="N196" s="67"/>
      <c r="O196" s="67"/>
      <c r="P196" s="536"/>
      <c r="Q196" s="490"/>
      <c r="R196" s="63"/>
    </row>
    <row r="197" spans="2:18" s="62" customFormat="1" ht="27" customHeight="1" x14ac:dyDescent="0.2">
      <c r="B197" s="59"/>
      <c r="C197" s="78"/>
      <c r="D197" s="45"/>
      <c r="E197" s="333"/>
      <c r="F197" s="64" t="s">
        <v>46</v>
      </c>
      <c r="G197" s="679" t="s">
        <v>279</v>
      </c>
      <c r="H197" s="337" t="s">
        <v>280</v>
      </c>
      <c r="I197" s="435">
        <v>1</v>
      </c>
      <c r="J197" s="616">
        <v>0</v>
      </c>
      <c r="K197" s="616">
        <v>0</v>
      </c>
      <c r="L197" s="616">
        <v>245000000</v>
      </c>
      <c r="M197" s="616">
        <v>245000000</v>
      </c>
      <c r="N197" s="67"/>
      <c r="O197" s="67"/>
      <c r="P197" s="536"/>
      <c r="Q197" s="490"/>
      <c r="R197" s="63"/>
    </row>
    <row r="198" spans="2:18" s="62" customFormat="1" ht="30" customHeight="1" x14ac:dyDescent="0.25">
      <c r="B198" s="59"/>
      <c r="C198" s="78"/>
      <c r="D198" s="45"/>
      <c r="E198" s="333"/>
      <c r="F198" s="64" t="s">
        <v>46</v>
      </c>
      <c r="G198" s="679" t="s">
        <v>281</v>
      </c>
      <c r="H198" s="678" t="s">
        <v>282</v>
      </c>
      <c r="I198" s="68">
        <v>1</v>
      </c>
      <c r="J198" s="616">
        <v>0</v>
      </c>
      <c r="K198" s="616">
        <v>0</v>
      </c>
      <c r="L198" s="616">
        <v>100000000</v>
      </c>
      <c r="M198" s="616">
        <v>100000000</v>
      </c>
      <c r="N198" s="67"/>
      <c r="O198" s="67"/>
      <c r="P198" s="514"/>
      <c r="Q198" s="490"/>
      <c r="R198" s="63"/>
    </row>
    <row r="199" spans="2:18" s="29" customFormat="1" ht="26.25" customHeight="1" x14ac:dyDescent="0.25">
      <c r="B199" s="13"/>
      <c r="C199" s="87"/>
      <c r="D199" s="109"/>
      <c r="E199" s="109" t="s">
        <v>27</v>
      </c>
      <c r="F199" s="1548" t="s">
        <v>283</v>
      </c>
      <c r="G199" s="1549"/>
      <c r="H199" s="433" t="s">
        <v>284</v>
      </c>
      <c r="I199" s="435"/>
      <c r="J199" s="660">
        <f>J200+J201</f>
        <v>0</v>
      </c>
      <c r="K199" s="660">
        <f>K200+K201</f>
        <v>0</v>
      </c>
      <c r="L199" s="660">
        <f>L200+L201</f>
        <v>1045000000</v>
      </c>
      <c r="M199" s="660">
        <f>M200+M201</f>
        <v>1045000000</v>
      </c>
      <c r="N199" s="61"/>
      <c r="O199" s="61"/>
      <c r="P199" s="536"/>
      <c r="Q199" s="489"/>
      <c r="R199" s="63"/>
    </row>
    <row r="200" spans="2:18" s="29" customFormat="1" x14ac:dyDescent="0.25">
      <c r="B200" s="13"/>
      <c r="C200" s="87"/>
      <c r="D200" s="109"/>
      <c r="E200" s="109"/>
      <c r="F200" s="64" t="s">
        <v>46</v>
      </c>
      <c r="G200" s="679" t="s">
        <v>285</v>
      </c>
      <c r="H200" s="678" t="s">
        <v>286</v>
      </c>
      <c r="I200" s="436">
        <v>1</v>
      </c>
      <c r="J200" s="618">
        <v>0</v>
      </c>
      <c r="K200" s="618">
        <v>0</v>
      </c>
      <c r="L200" s="618">
        <v>1000000000</v>
      </c>
      <c r="M200" s="618">
        <v>1000000000</v>
      </c>
      <c r="N200" s="67"/>
      <c r="O200" s="67"/>
      <c r="P200" s="537"/>
      <c r="Q200" s="490"/>
      <c r="R200" s="63"/>
    </row>
    <row r="201" spans="2:18" s="29" customFormat="1" ht="29.25" customHeight="1" x14ac:dyDescent="0.25">
      <c r="B201" s="13"/>
      <c r="C201" s="87"/>
      <c r="D201" s="109"/>
      <c r="E201" s="109"/>
      <c r="F201" s="301" t="s">
        <v>46</v>
      </c>
      <c r="G201" s="679" t="s">
        <v>287</v>
      </c>
      <c r="H201" s="678" t="s">
        <v>288</v>
      </c>
      <c r="I201" s="68">
        <v>1</v>
      </c>
      <c r="J201" s="618">
        <v>0</v>
      </c>
      <c r="K201" s="618">
        <v>0</v>
      </c>
      <c r="L201" s="618">
        <v>45000000</v>
      </c>
      <c r="M201" s="618">
        <v>45000000</v>
      </c>
      <c r="N201" s="67"/>
      <c r="O201" s="67"/>
      <c r="P201" s="514"/>
      <c r="Q201" s="490"/>
      <c r="R201" s="63"/>
    </row>
    <row r="202" spans="2:18" s="29" customFormat="1" ht="23.25" customHeight="1" x14ac:dyDescent="0.25">
      <c r="B202" s="13"/>
      <c r="C202" s="87"/>
      <c r="D202" s="109"/>
      <c r="E202" s="109" t="s">
        <v>30</v>
      </c>
      <c r="F202" s="1548" t="s">
        <v>289</v>
      </c>
      <c r="G202" s="1549"/>
      <c r="H202" s="433" t="s">
        <v>290</v>
      </c>
      <c r="I202" s="435">
        <v>1</v>
      </c>
      <c r="J202" s="660">
        <f>J203+J204</f>
        <v>0</v>
      </c>
      <c r="K202" s="660">
        <f>K203+K204</f>
        <v>0</v>
      </c>
      <c r="L202" s="660">
        <f>L203+L204</f>
        <v>3500000000</v>
      </c>
      <c r="M202" s="660">
        <f>M203+M204</f>
        <v>3500000000</v>
      </c>
      <c r="N202" s="61"/>
      <c r="O202" s="61"/>
      <c r="P202" s="536"/>
      <c r="Q202" s="489"/>
      <c r="R202" s="63" t="s">
        <v>291</v>
      </c>
    </row>
    <row r="203" spans="2:18" s="29" customFormat="1" ht="22.5" customHeight="1" x14ac:dyDescent="0.25">
      <c r="B203" s="13"/>
      <c r="C203" s="54"/>
      <c r="D203" s="55"/>
      <c r="E203" s="55"/>
      <c r="F203" s="301" t="s">
        <v>46</v>
      </c>
      <c r="G203" s="679" t="s">
        <v>292</v>
      </c>
      <c r="H203" s="678" t="s">
        <v>293</v>
      </c>
      <c r="I203" s="437">
        <v>1</v>
      </c>
      <c r="J203" s="618">
        <v>0</v>
      </c>
      <c r="K203" s="618">
        <v>0</v>
      </c>
      <c r="L203" s="618">
        <f>3500000000-125000000</f>
        <v>3375000000</v>
      </c>
      <c r="M203" s="618">
        <f>3500000000-125000000</f>
        <v>3375000000</v>
      </c>
      <c r="N203" s="67"/>
      <c r="O203" s="67"/>
      <c r="P203" s="538"/>
      <c r="Q203" s="490"/>
      <c r="R203" s="63" t="s">
        <v>427</v>
      </c>
    </row>
    <row r="204" spans="2:18" s="29" customFormat="1" ht="24" customHeight="1" x14ac:dyDescent="0.25">
      <c r="B204" s="13"/>
      <c r="C204" s="87"/>
      <c r="D204" s="109"/>
      <c r="E204" s="109"/>
      <c r="F204" s="301" t="s">
        <v>46</v>
      </c>
      <c r="G204" s="679" t="s">
        <v>294</v>
      </c>
      <c r="H204" s="678" t="s">
        <v>295</v>
      </c>
      <c r="I204" s="68">
        <v>1</v>
      </c>
      <c r="J204" s="616">
        <v>0</v>
      </c>
      <c r="K204" s="616">
        <v>0</v>
      </c>
      <c r="L204" s="616">
        <v>125000000</v>
      </c>
      <c r="M204" s="616">
        <v>125000000</v>
      </c>
      <c r="N204" s="67"/>
      <c r="O204" s="67"/>
      <c r="P204" s="514"/>
      <c r="Q204" s="490"/>
      <c r="R204" s="63"/>
    </row>
    <row r="205" spans="2:18" s="29" customFormat="1" ht="23.25" customHeight="1" x14ac:dyDescent="0.25">
      <c r="B205" s="13"/>
      <c r="C205" s="54"/>
      <c r="D205" s="55"/>
      <c r="E205" s="55" t="s">
        <v>8</v>
      </c>
      <c r="F205" s="1548" t="s">
        <v>296</v>
      </c>
      <c r="G205" s="1549"/>
      <c r="H205" s="69" t="s">
        <v>297</v>
      </c>
      <c r="I205" s="70"/>
      <c r="J205" s="617">
        <f>SUM(J206:J208)</f>
        <v>0</v>
      </c>
      <c r="K205" s="617">
        <f>SUM(K206:K208)</f>
        <v>0</v>
      </c>
      <c r="L205" s="617">
        <f>SUM(L206:L208)</f>
        <v>1600000000</v>
      </c>
      <c r="M205" s="617">
        <f>SUM(M206:M208)</f>
        <v>1600000000</v>
      </c>
      <c r="N205" s="61"/>
      <c r="O205" s="61"/>
      <c r="P205" s="562"/>
      <c r="Q205" s="489"/>
      <c r="R205" s="63"/>
    </row>
    <row r="206" spans="2:18" s="29" customFormat="1" ht="26.25" customHeight="1" x14ac:dyDescent="0.25">
      <c r="B206" s="13"/>
      <c r="C206" s="54"/>
      <c r="D206" s="55"/>
      <c r="E206" s="55"/>
      <c r="F206" s="301" t="s">
        <v>46</v>
      </c>
      <c r="G206" s="679" t="s">
        <v>499</v>
      </c>
      <c r="H206" s="678" t="s">
        <v>500</v>
      </c>
      <c r="I206" s="72">
        <v>1</v>
      </c>
      <c r="J206" s="618">
        <v>0</v>
      </c>
      <c r="K206" s="618">
        <v>0</v>
      </c>
      <c r="L206" s="618">
        <v>1490000000</v>
      </c>
      <c r="M206" s="618">
        <v>1490000000</v>
      </c>
      <c r="N206" s="67"/>
      <c r="O206" s="67"/>
      <c r="P206" s="563"/>
      <c r="Q206" s="490"/>
      <c r="R206" s="63"/>
    </row>
    <row r="207" spans="2:18" s="29" customFormat="1" ht="24.75" customHeight="1" x14ac:dyDescent="0.25">
      <c r="B207" s="13"/>
      <c r="C207" s="54"/>
      <c r="D207" s="55"/>
      <c r="E207" s="55"/>
      <c r="F207" s="301" t="s">
        <v>46</v>
      </c>
      <c r="G207" s="679" t="s">
        <v>298</v>
      </c>
      <c r="H207" s="678" t="s">
        <v>299</v>
      </c>
      <c r="I207" s="72">
        <v>1</v>
      </c>
      <c r="J207" s="618">
        <v>0</v>
      </c>
      <c r="K207" s="618">
        <v>0</v>
      </c>
      <c r="L207" s="618">
        <v>50000000</v>
      </c>
      <c r="M207" s="618">
        <v>50000000</v>
      </c>
      <c r="N207" s="67"/>
      <c r="O207" s="67"/>
      <c r="P207" s="563"/>
      <c r="Q207" s="490"/>
      <c r="R207" s="63"/>
    </row>
    <row r="208" spans="2:18" s="29" customFormat="1" ht="30.75" customHeight="1" x14ac:dyDescent="0.25">
      <c r="B208" s="13"/>
      <c r="C208" s="54"/>
      <c r="D208" s="55"/>
      <c r="E208" s="55"/>
      <c r="F208" s="301" t="s">
        <v>46</v>
      </c>
      <c r="G208" s="679" t="s">
        <v>300</v>
      </c>
      <c r="H208" s="678" t="s">
        <v>301</v>
      </c>
      <c r="I208" s="72">
        <v>1</v>
      </c>
      <c r="J208" s="618">
        <v>0</v>
      </c>
      <c r="K208" s="618">
        <v>0</v>
      </c>
      <c r="L208" s="618">
        <v>60000000</v>
      </c>
      <c r="M208" s="618">
        <v>60000000</v>
      </c>
      <c r="N208" s="67"/>
      <c r="O208" s="67"/>
      <c r="P208" s="563"/>
      <c r="Q208" s="490"/>
      <c r="R208" s="63"/>
    </row>
    <row r="209" spans="2:20" s="349" customFormat="1" ht="23.25" customHeight="1" x14ac:dyDescent="0.25">
      <c r="B209" s="339"/>
      <c r="C209" s="347"/>
      <c r="D209" s="55"/>
      <c r="E209" s="55" t="s">
        <v>22</v>
      </c>
      <c r="F209" s="1550" t="s">
        <v>302</v>
      </c>
      <c r="G209" s="1551"/>
      <c r="H209" s="967" t="s">
        <v>303</v>
      </c>
      <c r="I209" s="439"/>
      <c r="J209" s="617">
        <f>SUM(J210:J211)</f>
        <v>0</v>
      </c>
      <c r="K209" s="617">
        <f>SUM(K210:K211)</f>
        <v>0</v>
      </c>
      <c r="L209" s="1024">
        <f>SUM(L210:L211)</f>
        <v>3100000000</v>
      </c>
      <c r="M209" s="1024">
        <f>SUM(M210:M211)</f>
        <v>3100000000</v>
      </c>
      <c r="N209" s="61"/>
      <c r="O209" s="61"/>
      <c r="P209" s="564"/>
      <c r="Q209" s="489"/>
      <c r="R209" s="350"/>
    </row>
    <row r="210" spans="2:20" s="343" customFormat="1" ht="15" customHeight="1" x14ac:dyDescent="0.25">
      <c r="B210" s="339"/>
      <c r="C210" s="340"/>
      <c r="D210" s="341"/>
      <c r="E210" s="341"/>
      <c r="F210" s="351" t="s">
        <v>46</v>
      </c>
      <c r="G210" s="131" t="s">
        <v>304</v>
      </c>
      <c r="H210" s="342" t="s">
        <v>305</v>
      </c>
      <c r="I210" s="438">
        <v>1</v>
      </c>
      <c r="J210" s="618">
        <v>0</v>
      </c>
      <c r="K210" s="618">
        <v>0</v>
      </c>
      <c r="L210" s="618">
        <v>3000000000</v>
      </c>
      <c r="M210" s="618">
        <v>3000000000</v>
      </c>
      <c r="N210" s="67"/>
      <c r="O210" s="67"/>
      <c r="P210" s="565"/>
      <c r="Q210" s="490"/>
      <c r="R210" s="344"/>
    </row>
    <row r="211" spans="2:20" s="343" customFormat="1" ht="12.75" customHeight="1" x14ac:dyDescent="0.25">
      <c r="B211" s="339"/>
      <c r="C211" s="340"/>
      <c r="D211" s="341"/>
      <c r="E211" s="341"/>
      <c r="F211" s="351" t="s">
        <v>46</v>
      </c>
      <c r="G211" s="131" t="s">
        <v>306</v>
      </c>
      <c r="H211" s="342" t="s">
        <v>307</v>
      </c>
      <c r="I211" s="438">
        <v>1</v>
      </c>
      <c r="J211" s="618">
        <v>0</v>
      </c>
      <c r="K211" s="618">
        <v>0</v>
      </c>
      <c r="L211" s="618">
        <v>100000000</v>
      </c>
      <c r="M211" s="618">
        <v>100000000</v>
      </c>
      <c r="N211" s="67"/>
      <c r="O211" s="67"/>
      <c r="P211" s="565"/>
      <c r="Q211" s="490"/>
      <c r="R211" s="344"/>
    </row>
    <row r="212" spans="2:20" s="343" customFormat="1" ht="23.25" customHeight="1" x14ac:dyDescent="0.25">
      <c r="B212" s="339"/>
      <c r="C212" s="683"/>
      <c r="D212" s="684"/>
      <c r="E212" s="684" t="s">
        <v>210</v>
      </c>
      <c r="F212" s="1552" t="s">
        <v>308</v>
      </c>
      <c r="G212" s="1553"/>
      <c r="H212" s="685" t="s">
        <v>309</v>
      </c>
      <c r="I212" s="686">
        <v>1</v>
      </c>
      <c r="J212" s="687">
        <f>2500000000-323917029-50000000</f>
        <v>2126082971</v>
      </c>
      <c r="K212" s="687">
        <v>600000000</v>
      </c>
      <c r="L212" s="1057"/>
      <c r="M212" s="1057"/>
      <c r="N212" s="1011"/>
      <c r="O212" s="61"/>
      <c r="P212" s="565"/>
      <c r="Q212" s="489"/>
      <c r="R212" s="344"/>
    </row>
    <row r="213" spans="2:20" s="345" customFormat="1" ht="23.25" customHeight="1" x14ac:dyDescent="0.25">
      <c r="B213" s="339"/>
      <c r="C213" s="54"/>
      <c r="D213" s="55"/>
      <c r="E213" s="55">
        <v>11</v>
      </c>
      <c r="F213" s="1550" t="s">
        <v>310</v>
      </c>
      <c r="G213" s="1551"/>
      <c r="H213" s="342" t="s">
        <v>416</v>
      </c>
      <c r="I213" s="440"/>
      <c r="J213" s="617">
        <f>J214+J215</f>
        <v>800000000</v>
      </c>
      <c r="K213" s="617">
        <f>K214+K215</f>
        <v>800000000</v>
      </c>
      <c r="L213" s="1024"/>
      <c r="M213" s="1024"/>
      <c r="N213" s="61"/>
      <c r="O213" s="61"/>
      <c r="P213" s="566"/>
      <c r="Q213" s="489"/>
      <c r="R213" s="346"/>
    </row>
    <row r="214" spans="2:20" s="343" customFormat="1" ht="27" customHeight="1" x14ac:dyDescent="0.25">
      <c r="B214" s="339"/>
      <c r="C214" s="340"/>
      <c r="D214" s="341"/>
      <c r="E214" s="341"/>
      <c r="F214" s="720" t="s">
        <v>46</v>
      </c>
      <c r="G214" s="131" t="s">
        <v>311</v>
      </c>
      <c r="H214" s="342" t="s">
        <v>312</v>
      </c>
      <c r="I214" s="438"/>
      <c r="J214" s="618">
        <v>500000000</v>
      </c>
      <c r="K214" s="618">
        <v>500000000</v>
      </c>
      <c r="L214" s="1025"/>
      <c r="M214" s="1025"/>
      <c r="N214" s="67"/>
      <c r="O214" s="67"/>
      <c r="P214" s="565"/>
      <c r="Q214" s="490"/>
      <c r="R214" s="344"/>
    </row>
    <row r="215" spans="2:20" s="343" customFormat="1" ht="25.5" customHeight="1" x14ac:dyDescent="0.25">
      <c r="B215" s="339"/>
      <c r="C215" s="340"/>
      <c r="D215" s="341"/>
      <c r="E215" s="341"/>
      <c r="F215" s="720" t="s">
        <v>46</v>
      </c>
      <c r="G215" s="131" t="s">
        <v>313</v>
      </c>
      <c r="H215" s="342" t="s">
        <v>314</v>
      </c>
      <c r="I215" s="438"/>
      <c r="J215" s="618">
        <v>300000000</v>
      </c>
      <c r="K215" s="618">
        <v>300000000</v>
      </c>
      <c r="L215" s="1025"/>
      <c r="M215" s="1025"/>
      <c r="N215" s="67"/>
      <c r="O215" s="67"/>
      <c r="P215" s="565"/>
      <c r="Q215" s="490"/>
      <c r="R215" s="344"/>
    </row>
    <row r="216" spans="2:20" s="29" customFormat="1" ht="27" customHeight="1" x14ac:dyDescent="0.25">
      <c r="B216" s="13"/>
      <c r="C216" s="87"/>
      <c r="D216" s="109"/>
      <c r="E216" s="109">
        <v>12</v>
      </c>
      <c r="F216" s="1542" t="s">
        <v>315</v>
      </c>
      <c r="G216" s="1543"/>
      <c r="H216" s="434" t="s">
        <v>316</v>
      </c>
      <c r="I216" s="353">
        <v>1</v>
      </c>
      <c r="J216" s="660">
        <v>200000000</v>
      </c>
      <c r="K216" s="660">
        <v>200000000</v>
      </c>
      <c r="L216" s="1024"/>
      <c r="M216" s="1024"/>
      <c r="N216" s="61"/>
      <c r="O216" s="61"/>
      <c r="P216" s="567"/>
      <c r="Q216" s="489"/>
      <c r="R216" s="28"/>
    </row>
    <row r="217" spans="2:20" s="29" customFormat="1" ht="26.25" customHeight="1" x14ac:dyDescent="0.25">
      <c r="B217" s="13"/>
      <c r="C217" s="714"/>
      <c r="D217" s="599"/>
      <c r="E217" s="599">
        <v>13</v>
      </c>
      <c r="F217" s="1544" t="s">
        <v>317</v>
      </c>
      <c r="G217" s="1545"/>
      <c r="H217" s="715" t="s">
        <v>318</v>
      </c>
      <c r="I217" s="716" t="s">
        <v>319</v>
      </c>
      <c r="J217" s="717">
        <v>100000000</v>
      </c>
      <c r="K217" s="717">
        <v>300000000</v>
      </c>
      <c r="L217" s="1058"/>
      <c r="M217" s="1058"/>
      <c r="N217" s="1012"/>
      <c r="O217" s="7"/>
      <c r="P217" s="568"/>
      <c r="Q217" s="976"/>
      <c r="R217" s="28"/>
    </row>
    <row r="218" spans="2:20" s="29" customFormat="1" ht="20.25" customHeight="1" x14ac:dyDescent="0.25">
      <c r="B218" s="13"/>
      <c r="C218" s="714"/>
      <c r="D218" s="599"/>
      <c r="E218" s="599">
        <v>14</v>
      </c>
      <c r="F218" s="1546" t="s">
        <v>320</v>
      </c>
      <c r="G218" s="1547"/>
      <c r="H218" s="715" t="s">
        <v>321</v>
      </c>
      <c r="I218" s="716" t="s">
        <v>319</v>
      </c>
      <c r="J218" s="717">
        <v>200000000</v>
      </c>
      <c r="K218" s="717">
        <v>600000000</v>
      </c>
      <c r="L218" s="1058"/>
      <c r="M218" s="1058"/>
      <c r="N218" s="1012"/>
      <c r="O218" s="7"/>
      <c r="P218" s="568"/>
      <c r="Q218" s="976"/>
      <c r="R218" s="28"/>
    </row>
    <row r="219" spans="2:20" s="62" customFormat="1" ht="38.25" customHeight="1" x14ac:dyDescent="0.25">
      <c r="B219" s="59"/>
      <c r="C219" s="714"/>
      <c r="D219" s="599"/>
      <c r="E219" s="599">
        <v>15</v>
      </c>
      <c r="F219" s="1544" t="s">
        <v>322</v>
      </c>
      <c r="G219" s="1545"/>
      <c r="H219" s="715" t="s">
        <v>323</v>
      </c>
      <c r="I219" s="719" t="s">
        <v>86</v>
      </c>
      <c r="J219" s="717">
        <v>100000000</v>
      </c>
      <c r="K219" s="717">
        <v>250000000</v>
      </c>
      <c r="L219" s="1058"/>
      <c r="M219" s="1058"/>
      <c r="N219" s="1012"/>
      <c r="O219" s="7"/>
      <c r="P219" s="569"/>
      <c r="Q219" s="976"/>
      <c r="R219" s="148"/>
    </row>
    <row r="220" spans="2:20" s="29" customFormat="1" ht="26.25" customHeight="1" x14ac:dyDescent="0.25">
      <c r="B220" s="13"/>
      <c r="C220" s="87"/>
      <c r="D220" s="109"/>
      <c r="E220" s="109">
        <v>16</v>
      </c>
      <c r="F220" s="1542" t="s">
        <v>324</v>
      </c>
      <c r="G220" s="1543"/>
      <c r="H220" s="352" t="s">
        <v>325</v>
      </c>
      <c r="I220" s="353">
        <v>1</v>
      </c>
      <c r="J220" s="660">
        <v>0</v>
      </c>
      <c r="K220" s="660">
        <v>0</v>
      </c>
      <c r="L220" s="660">
        <v>200000000</v>
      </c>
      <c r="M220" s="660">
        <v>200000000</v>
      </c>
      <c r="N220" s="61"/>
      <c r="O220" s="61"/>
      <c r="P220" s="567"/>
      <c r="Q220" s="489"/>
      <c r="R220" s="28"/>
    </row>
    <row r="221" spans="2:20" ht="3" customHeight="1" x14ac:dyDescent="0.25">
      <c r="C221" s="95"/>
      <c r="D221" s="96"/>
      <c r="E221" s="96"/>
      <c r="F221" s="1540"/>
      <c r="G221" s="1541"/>
      <c r="H221" s="355"/>
      <c r="I221" s="356"/>
      <c r="J221" s="661"/>
      <c r="K221" s="661"/>
      <c r="L221" s="1059"/>
      <c r="M221" s="1059"/>
      <c r="N221" s="1013"/>
      <c r="O221" s="358"/>
      <c r="P221" s="570"/>
      <c r="Q221" s="505"/>
    </row>
    <row r="222" spans="2:20" s="15" customFormat="1" ht="25.5" customHeight="1" x14ac:dyDescent="0.25">
      <c r="B222" s="13"/>
      <c r="C222" s="1506" t="s">
        <v>456</v>
      </c>
      <c r="D222" s="1507"/>
      <c r="E222" s="1535" t="s">
        <v>326</v>
      </c>
      <c r="F222" s="1536"/>
      <c r="G222" s="1537"/>
      <c r="H222" s="359" t="s">
        <v>327</v>
      </c>
      <c r="I222" s="360"/>
      <c r="J222" s="641">
        <f>SUM(J223:J224)</f>
        <v>750000000</v>
      </c>
      <c r="K222" s="641">
        <f>SUM(K223:K224)</f>
        <v>750000000</v>
      </c>
      <c r="L222" s="894"/>
      <c r="M222" s="894"/>
      <c r="N222" s="1001"/>
      <c r="O222" s="26"/>
      <c r="P222" s="571"/>
      <c r="Q222" s="495"/>
    </row>
    <row r="223" spans="2:20" s="29" customFormat="1" ht="18" customHeight="1" x14ac:dyDescent="0.25">
      <c r="B223" s="13"/>
      <c r="C223" s="39"/>
      <c r="D223" s="140"/>
      <c r="E223" s="109" t="s">
        <v>5</v>
      </c>
      <c r="F223" s="1533" t="s">
        <v>329</v>
      </c>
      <c r="G223" s="1534"/>
      <c r="H223" s="141" t="s">
        <v>330</v>
      </c>
      <c r="I223" s="142" t="s">
        <v>328</v>
      </c>
      <c r="J223" s="629">
        <v>400000000</v>
      </c>
      <c r="K223" s="629">
        <v>400000000</v>
      </c>
      <c r="L223" s="1033"/>
      <c r="M223" s="1033"/>
      <c r="N223" s="144"/>
      <c r="O223" s="144"/>
      <c r="P223" s="561"/>
      <c r="Q223" s="492"/>
      <c r="T223" s="145"/>
    </row>
    <row r="224" spans="2:20" s="29" customFormat="1" ht="18" customHeight="1" x14ac:dyDescent="0.25">
      <c r="B224" s="13"/>
      <c r="C224" s="39"/>
      <c r="D224" s="140"/>
      <c r="E224" s="109" t="s">
        <v>10</v>
      </c>
      <c r="F224" s="1533" t="s">
        <v>331</v>
      </c>
      <c r="G224" s="1534"/>
      <c r="H224" s="141" t="s">
        <v>332</v>
      </c>
      <c r="I224" s="142" t="s">
        <v>319</v>
      </c>
      <c r="J224" s="629">
        <v>350000000</v>
      </c>
      <c r="K224" s="629">
        <v>350000000</v>
      </c>
      <c r="L224" s="1033"/>
      <c r="M224" s="1033"/>
      <c r="N224" s="144"/>
      <c r="O224" s="144"/>
      <c r="P224" s="561"/>
      <c r="Q224" s="492"/>
      <c r="T224" s="145"/>
    </row>
    <row r="225" spans="2:20" ht="5.25" customHeight="1" x14ac:dyDescent="0.25">
      <c r="C225" s="363"/>
      <c r="D225" s="364"/>
      <c r="E225" s="276"/>
      <c r="F225" s="365"/>
      <c r="G225" s="366"/>
      <c r="H225" s="367"/>
      <c r="I225" s="368"/>
      <c r="J225" s="651"/>
      <c r="K225" s="651"/>
      <c r="L225" s="1052"/>
      <c r="M225" s="1052"/>
      <c r="N225" s="1007"/>
      <c r="P225" s="572"/>
      <c r="T225" s="230"/>
    </row>
    <row r="226" spans="2:20" s="15" customFormat="1" ht="27.75" customHeight="1" x14ac:dyDescent="0.25">
      <c r="B226" s="13"/>
      <c r="C226" s="1506" t="s">
        <v>457</v>
      </c>
      <c r="D226" s="1507"/>
      <c r="E226" s="1535" t="s">
        <v>333</v>
      </c>
      <c r="F226" s="1536"/>
      <c r="G226" s="1537"/>
      <c r="H226" s="359" t="s">
        <v>334</v>
      </c>
      <c r="I226" s="360"/>
      <c r="J226" s="641">
        <f>J227+J228</f>
        <v>2200000000</v>
      </c>
      <c r="K226" s="641">
        <f>K227+K228</f>
        <v>2976082971</v>
      </c>
      <c r="L226" s="894"/>
      <c r="M226" s="894"/>
      <c r="N226" s="1001"/>
      <c r="O226" s="26"/>
      <c r="P226" s="571"/>
      <c r="Q226" s="495"/>
    </row>
    <row r="227" spans="2:20" s="29" customFormat="1" ht="15.75" customHeight="1" x14ac:dyDescent="0.25">
      <c r="B227" s="13"/>
      <c r="C227" s="39"/>
      <c r="D227" s="140"/>
      <c r="E227" s="109" t="s">
        <v>5</v>
      </c>
      <c r="F227" s="1538" t="s">
        <v>335</v>
      </c>
      <c r="G227" s="1539"/>
      <c r="H227" s="141" t="s">
        <v>336</v>
      </c>
      <c r="I227" s="142" t="s">
        <v>109</v>
      </c>
      <c r="J227" s="629">
        <f>2000000000</f>
        <v>2000000000</v>
      </c>
      <c r="K227" s="629">
        <f>2000000000+776082971</f>
        <v>2776082971</v>
      </c>
      <c r="L227" s="1033"/>
      <c r="M227" s="1033"/>
      <c r="N227" s="144"/>
      <c r="O227" s="144"/>
      <c r="P227" s="561"/>
      <c r="Q227" s="492"/>
    </row>
    <row r="228" spans="2:20" s="362" customFormat="1" ht="15.75" customHeight="1" x14ac:dyDescent="0.25">
      <c r="B228" s="13"/>
      <c r="C228" s="39"/>
      <c r="D228" s="140"/>
      <c r="E228" s="109" t="s">
        <v>10</v>
      </c>
      <c r="F228" s="1533" t="s">
        <v>339</v>
      </c>
      <c r="G228" s="1534"/>
      <c r="H228" s="141" t="s">
        <v>340</v>
      </c>
      <c r="I228" s="370" t="s">
        <v>244</v>
      </c>
      <c r="J228" s="662">
        <v>200000000</v>
      </c>
      <c r="K228" s="662">
        <v>200000000</v>
      </c>
      <c r="L228" s="1033"/>
      <c r="M228" s="1033"/>
      <c r="N228" s="144"/>
      <c r="O228" s="144"/>
      <c r="P228" s="573"/>
      <c r="Q228" s="492"/>
      <c r="R228" s="361"/>
      <c r="T228" s="361"/>
    </row>
    <row r="229" spans="2:20" ht="3.75" customHeight="1" x14ac:dyDescent="0.25">
      <c r="C229" s="363"/>
      <c r="D229" s="364"/>
      <c r="E229" s="276"/>
      <c r="F229" s="365"/>
      <c r="G229" s="366"/>
      <c r="H229" s="367"/>
      <c r="I229" s="368"/>
      <c r="J229" s="651"/>
      <c r="K229" s="651"/>
      <c r="L229" s="1052"/>
      <c r="M229" s="1052"/>
      <c r="N229" s="1007"/>
      <c r="P229" s="572"/>
      <c r="T229" s="230"/>
    </row>
    <row r="230" spans="2:20" s="15" customFormat="1" ht="28.5" customHeight="1" x14ac:dyDescent="0.25">
      <c r="B230" s="13"/>
      <c r="C230" s="1506" t="s">
        <v>458</v>
      </c>
      <c r="D230" s="1507"/>
      <c r="E230" s="1535" t="s">
        <v>341</v>
      </c>
      <c r="F230" s="1536"/>
      <c r="G230" s="1537"/>
      <c r="H230" s="359" t="s">
        <v>342</v>
      </c>
      <c r="I230" s="360"/>
      <c r="J230" s="641">
        <f>SUM(J231:J235)</f>
        <v>1550000000</v>
      </c>
      <c r="K230" s="641">
        <f>SUM(K231:K235)</f>
        <v>1550000000</v>
      </c>
      <c r="L230" s="894"/>
      <c r="M230" s="894"/>
      <c r="N230" s="1001"/>
      <c r="O230" s="26"/>
      <c r="P230" s="571"/>
      <c r="Q230" s="495"/>
    </row>
    <row r="231" spans="2:20" s="29" customFormat="1" ht="21" customHeight="1" x14ac:dyDescent="0.25">
      <c r="B231" s="13"/>
      <c r="C231" s="39"/>
      <c r="D231" s="140"/>
      <c r="E231" s="109" t="s">
        <v>5</v>
      </c>
      <c r="F231" s="1533" t="s">
        <v>343</v>
      </c>
      <c r="G231" s="1534"/>
      <c r="H231" s="172" t="s">
        <v>344</v>
      </c>
      <c r="I231" s="370" t="s">
        <v>345</v>
      </c>
      <c r="J231" s="662">
        <v>600000000</v>
      </c>
      <c r="K231" s="662">
        <v>600000000</v>
      </c>
      <c r="L231" s="1033"/>
      <c r="M231" s="1033"/>
      <c r="N231" s="144"/>
      <c r="O231" s="144"/>
      <c r="P231" s="573"/>
      <c r="Q231" s="492"/>
      <c r="T231" s="145"/>
    </row>
    <row r="232" spans="2:20" s="29" customFormat="1" ht="15.75" customHeight="1" x14ac:dyDescent="0.25">
      <c r="B232" s="13"/>
      <c r="C232" s="39"/>
      <c r="D232" s="140"/>
      <c r="E232" s="109" t="s">
        <v>10</v>
      </c>
      <c r="F232" s="1533" t="s">
        <v>346</v>
      </c>
      <c r="G232" s="1534"/>
      <c r="H232" s="369" t="s">
        <v>347</v>
      </c>
      <c r="I232" s="370" t="s">
        <v>348</v>
      </c>
      <c r="J232" s="662">
        <v>400000000</v>
      </c>
      <c r="K232" s="662">
        <v>400000000</v>
      </c>
      <c r="L232" s="1033"/>
      <c r="M232" s="1033"/>
      <c r="N232" s="144"/>
      <c r="O232" s="144"/>
      <c r="P232" s="573"/>
      <c r="Q232" s="492"/>
      <c r="T232" s="145"/>
    </row>
    <row r="233" spans="2:20" s="29" customFormat="1" ht="25.5" customHeight="1" x14ac:dyDescent="0.25">
      <c r="B233" s="13"/>
      <c r="C233" s="39"/>
      <c r="D233" s="140"/>
      <c r="E233" s="109" t="s">
        <v>13</v>
      </c>
      <c r="F233" s="1531" t="s">
        <v>349</v>
      </c>
      <c r="G233" s="1532"/>
      <c r="H233" s="141" t="s">
        <v>350</v>
      </c>
      <c r="I233" s="142" t="s">
        <v>351</v>
      </c>
      <c r="J233" s="663">
        <v>200000000</v>
      </c>
      <c r="K233" s="663">
        <v>200000000</v>
      </c>
      <c r="L233" s="1060"/>
      <c r="M233" s="1060"/>
      <c r="N233" s="373"/>
      <c r="O233" s="373"/>
      <c r="P233" s="561"/>
      <c r="Q233" s="492"/>
    </row>
    <row r="234" spans="2:20" s="29" customFormat="1" ht="26.25" customHeight="1" x14ac:dyDescent="0.25">
      <c r="B234" s="13"/>
      <c r="C234" s="39"/>
      <c r="D234" s="140"/>
      <c r="E234" s="109" t="s">
        <v>16</v>
      </c>
      <c r="F234" s="1533" t="s">
        <v>352</v>
      </c>
      <c r="G234" s="1534"/>
      <c r="H234" s="141" t="s">
        <v>350</v>
      </c>
      <c r="I234" s="142" t="s">
        <v>351</v>
      </c>
      <c r="J234" s="629">
        <v>200000000</v>
      </c>
      <c r="K234" s="629">
        <v>200000000</v>
      </c>
      <c r="L234" s="1033"/>
      <c r="M234" s="1033"/>
      <c r="N234" s="144"/>
      <c r="O234" s="144"/>
      <c r="P234" s="561"/>
      <c r="Q234" s="492"/>
      <c r="T234" s="145"/>
    </row>
    <row r="235" spans="2:20" s="29" customFormat="1" ht="15.75" customHeight="1" x14ac:dyDescent="0.25">
      <c r="B235" s="13"/>
      <c r="C235" s="39"/>
      <c r="D235" s="140"/>
      <c r="E235" s="109" t="s">
        <v>19</v>
      </c>
      <c r="F235" s="1533" t="s">
        <v>353</v>
      </c>
      <c r="G235" s="1534"/>
      <c r="H235" s="141" t="s">
        <v>354</v>
      </c>
      <c r="I235" s="142" t="s">
        <v>92</v>
      </c>
      <c r="J235" s="629">
        <v>150000000</v>
      </c>
      <c r="K235" s="629">
        <v>150000000</v>
      </c>
      <c r="L235" s="1033"/>
      <c r="M235" s="1033"/>
      <c r="N235" s="144"/>
      <c r="O235" s="144"/>
      <c r="P235" s="561"/>
      <c r="Q235" s="492"/>
      <c r="T235" s="145"/>
    </row>
    <row r="236" spans="2:20" s="229" customFormat="1" ht="4.5" customHeight="1" x14ac:dyDescent="0.25">
      <c r="B236" s="59"/>
      <c r="C236" s="374"/>
      <c r="D236" s="375"/>
      <c r="E236" s="375"/>
      <c r="F236" s="1527"/>
      <c r="G236" s="1528"/>
      <c r="H236" s="376"/>
      <c r="I236" s="377"/>
      <c r="J236" s="664"/>
      <c r="K236" s="664"/>
      <c r="L236" s="1061"/>
      <c r="M236" s="1061"/>
      <c r="N236" s="101"/>
      <c r="O236" s="101"/>
      <c r="P236" s="574"/>
      <c r="Q236" s="491"/>
      <c r="T236" s="309"/>
    </row>
    <row r="237" spans="2:20" s="15" customFormat="1" ht="37.5" customHeight="1" x14ac:dyDescent="0.25">
      <c r="B237" s="13"/>
      <c r="C237" s="1501" t="s">
        <v>459</v>
      </c>
      <c r="D237" s="1502"/>
      <c r="E237" s="1512" t="s">
        <v>355</v>
      </c>
      <c r="F237" s="1513"/>
      <c r="G237" s="1514"/>
      <c r="H237" s="231" t="s">
        <v>356</v>
      </c>
      <c r="I237" s="379"/>
      <c r="J237" s="649">
        <f>J238+J241+J243+J246+J247+J248+J250+J251</f>
        <v>5200000000</v>
      </c>
      <c r="K237" s="649">
        <f>K238+K241+K243+K246+K247+K248+K250+K251</f>
        <v>5200000000</v>
      </c>
      <c r="L237" s="901"/>
      <c r="M237" s="901"/>
      <c r="N237" s="1005"/>
      <c r="O237" s="104"/>
      <c r="P237" s="575"/>
      <c r="Q237" s="14"/>
      <c r="R237" s="145"/>
      <c r="T237" s="145"/>
    </row>
    <row r="238" spans="2:20" s="82" customFormat="1" ht="24.75" customHeight="1" x14ac:dyDescent="0.25">
      <c r="B238" s="59"/>
      <c r="C238" s="49"/>
      <c r="D238" s="79"/>
      <c r="E238" s="140" t="s">
        <v>5</v>
      </c>
      <c r="F238" s="1529" t="s">
        <v>357</v>
      </c>
      <c r="G238" s="1530"/>
      <c r="H238" s="380" t="s">
        <v>358</v>
      </c>
      <c r="I238" s="381" t="s">
        <v>244</v>
      </c>
      <c r="J238" s="659">
        <f>J239+J240</f>
        <v>950000000</v>
      </c>
      <c r="K238" s="659">
        <f>K239+K240</f>
        <v>950000000</v>
      </c>
      <c r="L238" s="1056"/>
      <c r="M238" s="1056"/>
      <c r="N238" s="319"/>
      <c r="O238" s="319"/>
      <c r="P238" s="576"/>
      <c r="Q238" s="504"/>
      <c r="R238" s="63"/>
      <c r="T238" s="63"/>
    </row>
    <row r="239" spans="2:20" s="82" customFormat="1" ht="16.5" customHeight="1" x14ac:dyDescent="0.25">
      <c r="B239" s="59"/>
      <c r="C239" s="49"/>
      <c r="D239" s="79"/>
      <c r="E239" s="40"/>
      <c r="F239" s="382" t="s">
        <v>46</v>
      </c>
      <c r="G239" s="383" t="s">
        <v>357</v>
      </c>
      <c r="H239" s="384"/>
      <c r="I239" s="385"/>
      <c r="J239" s="665">
        <v>550000000</v>
      </c>
      <c r="K239" s="665">
        <v>550000000</v>
      </c>
      <c r="L239" s="1062"/>
      <c r="M239" s="1062"/>
      <c r="N239" s="387"/>
      <c r="O239" s="387"/>
      <c r="P239" s="577"/>
      <c r="Q239" s="506"/>
      <c r="R239" s="63"/>
      <c r="T239" s="63"/>
    </row>
    <row r="240" spans="2:20" s="306" customFormat="1" x14ac:dyDescent="0.25">
      <c r="B240" s="13"/>
      <c r="C240" s="263"/>
      <c r="D240" s="388"/>
      <c r="E240" s="156"/>
      <c r="F240" s="389" t="s">
        <v>46</v>
      </c>
      <c r="G240" s="390" t="s">
        <v>359</v>
      </c>
      <c r="H240" s="391"/>
      <c r="I240" s="392"/>
      <c r="J240" s="666">
        <v>400000000</v>
      </c>
      <c r="K240" s="666">
        <v>400000000</v>
      </c>
      <c r="L240" s="1062"/>
      <c r="M240" s="1062"/>
      <c r="N240" s="387"/>
      <c r="O240" s="387"/>
      <c r="P240" s="578"/>
      <c r="Q240" s="506"/>
      <c r="T240" s="307"/>
    </row>
    <row r="241" spans="2:20" s="29" customFormat="1" ht="21.75" customHeight="1" x14ac:dyDescent="0.25">
      <c r="B241" s="13"/>
      <c r="C241" s="49"/>
      <c r="D241" s="79"/>
      <c r="E241" s="109" t="s">
        <v>10</v>
      </c>
      <c r="F241" s="1517" t="s">
        <v>360</v>
      </c>
      <c r="G241" s="1518"/>
      <c r="H241" s="394" t="s">
        <v>361</v>
      </c>
      <c r="I241" s="381" t="s">
        <v>244</v>
      </c>
      <c r="J241" s="667">
        <f>J242</f>
        <v>1000000000</v>
      </c>
      <c r="K241" s="667">
        <f>K242</f>
        <v>1000000000</v>
      </c>
      <c r="L241" s="1056"/>
      <c r="M241" s="1056"/>
      <c r="N241" s="319"/>
      <c r="O241" s="319"/>
      <c r="P241" s="576"/>
      <c r="Q241" s="504"/>
      <c r="T241" s="145"/>
    </row>
    <row r="242" spans="2:20" s="306" customFormat="1" ht="27.75" customHeight="1" x14ac:dyDescent="0.25">
      <c r="B242" s="13"/>
      <c r="C242" s="263"/>
      <c r="D242" s="388"/>
      <c r="E242" s="156"/>
      <c r="F242" s="389" t="s">
        <v>46</v>
      </c>
      <c r="G242" s="390" t="s">
        <v>362</v>
      </c>
      <c r="H242" s="391"/>
      <c r="I242" s="392"/>
      <c r="J242" s="666">
        <v>1000000000</v>
      </c>
      <c r="K242" s="666">
        <v>1000000000</v>
      </c>
      <c r="L242" s="1062"/>
      <c r="M242" s="1062"/>
      <c r="N242" s="387"/>
      <c r="O242" s="387"/>
      <c r="P242" s="578"/>
      <c r="Q242" s="506"/>
      <c r="R242" s="307"/>
      <c r="T242" s="307"/>
    </row>
    <row r="243" spans="2:20" s="29" customFormat="1" ht="21.75" customHeight="1" x14ac:dyDescent="0.25">
      <c r="B243" s="13"/>
      <c r="C243" s="49"/>
      <c r="D243" s="79"/>
      <c r="E243" s="109" t="s">
        <v>13</v>
      </c>
      <c r="F243" s="1519" t="s">
        <v>363</v>
      </c>
      <c r="G243" s="1520"/>
      <c r="H243" s="394" t="s">
        <v>364</v>
      </c>
      <c r="I243" s="381" t="s">
        <v>365</v>
      </c>
      <c r="J243" s="667">
        <f>SUM(J244:J245)</f>
        <v>550000000</v>
      </c>
      <c r="K243" s="667">
        <f>SUM(K244:K245)</f>
        <v>550000000</v>
      </c>
      <c r="L243" s="1056"/>
      <c r="M243" s="1056"/>
      <c r="N243" s="319"/>
      <c r="O243" s="319"/>
      <c r="P243" s="576"/>
      <c r="Q243" s="504"/>
      <c r="R243" s="396"/>
      <c r="T243" s="145"/>
    </row>
    <row r="244" spans="2:20" s="306" customFormat="1" ht="15" customHeight="1" x14ac:dyDescent="0.25">
      <c r="B244" s="13"/>
      <c r="C244" s="263"/>
      <c r="D244" s="388"/>
      <c r="E244" s="156"/>
      <c r="F244" s="397" t="s">
        <v>46</v>
      </c>
      <c r="G244" s="398" t="s">
        <v>366</v>
      </c>
      <c r="H244" s="391"/>
      <c r="I244" s="392" t="s">
        <v>244</v>
      </c>
      <c r="J244" s="666">
        <v>300000000</v>
      </c>
      <c r="K244" s="666">
        <v>300000000</v>
      </c>
      <c r="L244" s="1062"/>
      <c r="M244" s="1062"/>
      <c r="N244" s="387"/>
      <c r="O244" s="387"/>
      <c r="P244" s="578"/>
      <c r="Q244" s="506"/>
      <c r="T244" s="307"/>
    </row>
    <row r="245" spans="2:20" s="306" customFormat="1" ht="15" customHeight="1" x14ac:dyDescent="0.25">
      <c r="B245" s="13"/>
      <c r="C245" s="263"/>
      <c r="D245" s="388"/>
      <c r="E245" s="156"/>
      <c r="F245" s="397" t="s">
        <v>46</v>
      </c>
      <c r="G245" s="398" t="s">
        <v>367</v>
      </c>
      <c r="H245" s="391"/>
      <c r="I245" s="392" t="s">
        <v>244</v>
      </c>
      <c r="J245" s="666">
        <v>250000000</v>
      </c>
      <c r="K245" s="666">
        <v>250000000</v>
      </c>
      <c r="L245" s="1062"/>
      <c r="M245" s="1062"/>
      <c r="N245" s="387"/>
      <c r="O245" s="387"/>
      <c r="P245" s="578"/>
      <c r="Q245" s="506"/>
      <c r="R245" s="307"/>
      <c r="T245" s="307"/>
    </row>
    <row r="246" spans="2:20" s="306" customFormat="1" ht="30.75" customHeight="1" x14ac:dyDescent="0.25">
      <c r="B246" s="13"/>
      <c r="C246" s="49"/>
      <c r="D246" s="79"/>
      <c r="E246" s="109" t="s">
        <v>16</v>
      </c>
      <c r="F246" s="1521" t="s">
        <v>368</v>
      </c>
      <c r="G246" s="1522"/>
      <c r="H246" s="354" t="s">
        <v>369</v>
      </c>
      <c r="I246" s="381">
        <v>0.2</v>
      </c>
      <c r="J246" s="667">
        <v>1000000000</v>
      </c>
      <c r="K246" s="667">
        <v>1000000000</v>
      </c>
      <c r="L246" s="1056"/>
      <c r="M246" s="1056"/>
      <c r="N246" s="319"/>
      <c r="O246" s="319"/>
      <c r="P246" s="576"/>
      <c r="Q246" s="504"/>
      <c r="T246" s="307"/>
    </row>
    <row r="247" spans="2:20" s="306" customFormat="1" ht="22.5" customHeight="1" x14ac:dyDescent="0.25">
      <c r="B247" s="13"/>
      <c r="C247" s="399"/>
      <c r="D247" s="109"/>
      <c r="E247" s="109" t="s">
        <v>19</v>
      </c>
      <c r="F247" s="1517" t="s">
        <v>371</v>
      </c>
      <c r="G247" s="1518"/>
      <c r="H247" s="394" t="s">
        <v>372</v>
      </c>
      <c r="I247" s="381" t="s">
        <v>370</v>
      </c>
      <c r="J247" s="667">
        <v>600000000</v>
      </c>
      <c r="K247" s="667">
        <v>600000000</v>
      </c>
      <c r="L247" s="1056"/>
      <c r="M247" s="1056"/>
      <c r="N247" s="319"/>
      <c r="O247" s="319"/>
      <c r="P247" s="576"/>
      <c r="Q247" s="504"/>
      <c r="T247" s="307"/>
    </row>
    <row r="248" spans="2:20" s="29" customFormat="1" ht="18.75" customHeight="1" x14ac:dyDescent="0.25">
      <c r="B248" s="13"/>
      <c r="C248" s="400"/>
      <c r="D248" s="77"/>
      <c r="E248" s="77" t="s">
        <v>27</v>
      </c>
      <c r="F248" s="1523" t="s">
        <v>373</v>
      </c>
      <c r="G248" s="1524"/>
      <c r="H248" s="401" t="s">
        <v>374</v>
      </c>
      <c r="I248" s="402" t="s">
        <v>370</v>
      </c>
      <c r="J248" s="659">
        <f>SUM(J249:J249)</f>
        <v>400000000</v>
      </c>
      <c r="K248" s="659">
        <f>SUM(K249:K249)</f>
        <v>400000000</v>
      </c>
      <c r="L248" s="1056"/>
      <c r="M248" s="1056"/>
      <c r="N248" s="319"/>
      <c r="O248" s="319"/>
      <c r="P248" s="579"/>
      <c r="Q248" s="504"/>
      <c r="T248" s="145"/>
    </row>
    <row r="249" spans="2:20" s="306" customFormat="1" ht="16.5" customHeight="1" x14ac:dyDescent="0.25">
      <c r="B249" s="13"/>
      <c r="C249" s="403"/>
      <c r="D249" s="156"/>
      <c r="E249" s="156"/>
      <c r="F249" s="404" t="s">
        <v>46</v>
      </c>
      <c r="G249" s="405" t="s">
        <v>375</v>
      </c>
      <c r="H249" s="391"/>
      <c r="I249" s="392"/>
      <c r="J249" s="666">
        <v>400000000</v>
      </c>
      <c r="K249" s="666">
        <v>400000000</v>
      </c>
      <c r="L249" s="1062"/>
      <c r="M249" s="1062"/>
      <c r="N249" s="387"/>
      <c r="O249" s="387"/>
      <c r="P249" s="578"/>
      <c r="Q249" s="506"/>
      <c r="T249" s="307"/>
    </row>
    <row r="250" spans="2:20" s="29" customFormat="1" ht="21" customHeight="1" x14ac:dyDescent="0.25">
      <c r="B250" s="13"/>
      <c r="C250" s="399"/>
      <c r="D250" s="109"/>
      <c r="E250" s="109" t="s">
        <v>30</v>
      </c>
      <c r="F250" s="1525" t="s">
        <v>376</v>
      </c>
      <c r="G250" s="1526"/>
      <c r="H250" s="354" t="s">
        <v>377</v>
      </c>
      <c r="I250" s="406" t="s">
        <v>370</v>
      </c>
      <c r="J250" s="668">
        <v>300000000</v>
      </c>
      <c r="K250" s="668">
        <v>300000000</v>
      </c>
      <c r="L250" s="1056"/>
      <c r="M250" s="1056"/>
      <c r="N250" s="319"/>
      <c r="O250" s="319"/>
      <c r="P250" s="580"/>
      <c r="Q250" s="504"/>
      <c r="T250" s="145"/>
    </row>
    <row r="251" spans="2:20" s="29" customFormat="1" ht="21" customHeight="1" x14ac:dyDescent="0.25">
      <c r="B251" s="13"/>
      <c r="C251" s="399"/>
      <c r="D251" s="109"/>
      <c r="E251" s="109" t="s">
        <v>8</v>
      </c>
      <c r="F251" s="1510" t="s">
        <v>409</v>
      </c>
      <c r="G251" s="1511"/>
      <c r="H251" s="394" t="s">
        <v>410</v>
      </c>
      <c r="I251" s="381" t="s">
        <v>370</v>
      </c>
      <c r="J251" s="669">
        <v>400000000</v>
      </c>
      <c r="K251" s="669">
        <v>400000000</v>
      </c>
      <c r="L251" s="1063"/>
      <c r="M251" s="1063"/>
      <c r="N251" s="1014"/>
      <c r="O251" s="319"/>
      <c r="P251" s="576"/>
      <c r="Q251" s="504"/>
      <c r="T251" s="145"/>
    </row>
    <row r="252" spans="2:20" s="29" customFormat="1" ht="3.75" customHeight="1" x14ac:dyDescent="0.25">
      <c r="B252" s="13"/>
      <c r="C252" s="399"/>
      <c r="D252" s="109"/>
      <c r="E252" s="109"/>
      <c r="F252" s="409"/>
      <c r="G252" s="410"/>
      <c r="H252" s="354"/>
      <c r="I252" s="406"/>
      <c r="J252" s="670"/>
      <c r="K252" s="670"/>
      <c r="L252" s="1063"/>
      <c r="M252" s="1063"/>
      <c r="N252" s="1014"/>
      <c r="O252" s="319"/>
      <c r="P252" s="580"/>
      <c r="Q252" s="504"/>
      <c r="T252" s="145"/>
    </row>
    <row r="253" spans="2:20" s="29" customFormat="1" ht="35.25" customHeight="1" x14ac:dyDescent="0.25">
      <c r="B253" s="13"/>
      <c r="C253" s="1501" t="s">
        <v>460</v>
      </c>
      <c r="D253" s="1502"/>
      <c r="E253" s="1512" t="s">
        <v>378</v>
      </c>
      <c r="F253" s="1513"/>
      <c r="G253" s="1514"/>
      <c r="H253" s="412" t="s">
        <v>379</v>
      </c>
      <c r="I253" s="413"/>
      <c r="J253" s="649">
        <f>J254+J255+J256</f>
        <v>500000000</v>
      </c>
      <c r="K253" s="649">
        <f>K254+K255+K256</f>
        <v>500000000</v>
      </c>
      <c r="L253" s="901"/>
      <c r="M253" s="901"/>
      <c r="N253" s="1005"/>
      <c r="O253" s="104"/>
      <c r="P253" s="581"/>
      <c r="Q253" s="14"/>
      <c r="T253" s="145"/>
    </row>
    <row r="254" spans="2:20" s="29" customFormat="1" ht="23.25" customHeight="1" x14ac:dyDescent="0.25">
      <c r="B254" s="13"/>
      <c r="C254" s="399"/>
      <c r="D254" s="109"/>
      <c r="E254" s="109" t="s">
        <v>5</v>
      </c>
      <c r="F254" s="1515" t="s">
        <v>380</v>
      </c>
      <c r="G254" s="1516"/>
      <c r="H254" s="401" t="s">
        <v>381</v>
      </c>
      <c r="I254" s="402" t="s">
        <v>244</v>
      </c>
      <c r="J254" s="659">
        <v>175000000</v>
      </c>
      <c r="K254" s="659">
        <v>175000000</v>
      </c>
      <c r="L254" s="1056"/>
      <c r="M254" s="1056"/>
      <c r="N254" s="319"/>
      <c r="O254" s="319"/>
      <c r="P254" s="579"/>
      <c r="Q254" s="504"/>
      <c r="T254" s="145"/>
    </row>
    <row r="255" spans="2:20" s="29" customFormat="1" ht="27.75" customHeight="1" x14ac:dyDescent="0.25">
      <c r="B255" s="13"/>
      <c r="C255" s="399"/>
      <c r="D255" s="109"/>
      <c r="E255" s="109" t="s">
        <v>10</v>
      </c>
      <c r="F255" s="1510" t="s">
        <v>382</v>
      </c>
      <c r="G255" s="1511"/>
      <c r="H255" s="394" t="s">
        <v>383</v>
      </c>
      <c r="I255" s="381" t="s">
        <v>244</v>
      </c>
      <c r="J255" s="667">
        <v>175000000</v>
      </c>
      <c r="K255" s="667">
        <v>175000000</v>
      </c>
      <c r="L255" s="1056"/>
      <c r="M255" s="1056"/>
      <c r="N255" s="319"/>
      <c r="O255" s="319"/>
      <c r="P255" s="576"/>
      <c r="Q255" s="504"/>
      <c r="T255" s="145"/>
    </row>
    <row r="256" spans="2:20" s="29" customFormat="1" ht="30.75" customHeight="1" x14ac:dyDescent="0.25">
      <c r="B256" s="13"/>
      <c r="C256" s="399"/>
      <c r="D256" s="109"/>
      <c r="E256" s="109" t="s">
        <v>13</v>
      </c>
      <c r="F256" s="1510" t="s">
        <v>384</v>
      </c>
      <c r="G256" s="1511"/>
      <c r="H256" s="394" t="s">
        <v>385</v>
      </c>
      <c r="I256" s="381" t="s">
        <v>244</v>
      </c>
      <c r="J256" s="667">
        <v>150000000</v>
      </c>
      <c r="K256" s="667">
        <v>150000000</v>
      </c>
      <c r="L256" s="1056"/>
      <c r="M256" s="1056"/>
      <c r="N256" s="319"/>
      <c r="O256" s="319"/>
      <c r="P256" s="576"/>
      <c r="Q256" s="504"/>
      <c r="T256" s="145"/>
    </row>
    <row r="257" spans="2:20" s="29" customFormat="1" ht="16.5" hidden="1" customHeight="1" x14ac:dyDescent="0.25">
      <c r="B257" s="13"/>
      <c r="C257" s="399"/>
      <c r="D257" s="109"/>
      <c r="E257" s="109"/>
      <c r="F257" s="404" t="s">
        <v>46</v>
      </c>
      <c r="G257" s="405" t="s">
        <v>386</v>
      </c>
      <c r="H257" s="391"/>
      <c r="I257" s="392"/>
      <c r="J257" s="671">
        <v>300000000</v>
      </c>
      <c r="K257" s="671">
        <v>300000000</v>
      </c>
      <c r="L257" s="1064"/>
      <c r="M257" s="1064"/>
      <c r="N257" s="1015"/>
      <c r="O257" s="387"/>
      <c r="P257" s="578"/>
      <c r="Q257" s="506"/>
      <c r="T257" s="145"/>
    </row>
    <row r="258" spans="2:20" ht="3.75" customHeight="1" x14ac:dyDescent="0.25">
      <c r="C258" s="415"/>
      <c r="D258" s="338"/>
      <c r="E258" s="338"/>
      <c r="F258" s="416"/>
      <c r="G258" s="417"/>
      <c r="H258" s="367"/>
      <c r="I258" s="418"/>
      <c r="J258" s="648"/>
      <c r="K258" s="648"/>
      <c r="L258" s="1027"/>
      <c r="M258" s="1027"/>
      <c r="N258" s="993"/>
      <c r="O258" s="101"/>
      <c r="P258" s="582"/>
      <c r="Q258" s="491"/>
      <c r="T258" s="230"/>
    </row>
    <row r="259" spans="2:20" s="15" customFormat="1" ht="36.75" customHeight="1" x14ac:dyDescent="0.25">
      <c r="B259" s="13"/>
      <c r="C259" s="1501" t="s">
        <v>461</v>
      </c>
      <c r="D259" s="1502"/>
      <c r="E259" s="1512" t="s">
        <v>387</v>
      </c>
      <c r="F259" s="1513"/>
      <c r="G259" s="1514"/>
      <c r="H259" s="231" t="s">
        <v>388</v>
      </c>
      <c r="I259" s="379"/>
      <c r="J259" s="649">
        <f>J260</f>
        <v>300000000</v>
      </c>
      <c r="K259" s="649">
        <f>K260</f>
        <v>300000000</v>
      </c>
      <c r="L259" s="901"/>
      <c r="M259" s="901"/>
      <c r="N259" s="1005"/>
      <c r="O259" s="104"/>
      <c r="P259" s="575"/>
      <c r="Q259" s="14"/>
      <c r="T259" s="145"/>
    </row>
    <row r="260" spans="2:20" s="29" customFormat="1" ht="31.5" customHeight="1" x14ac:dyDescent="0.25">
      <c r="B260" s="13"/>
      <c r="C260" s="76"/>
      <c r="D260" s="77"/>
      <c r="E260" s="77" t="s">
        <v>5</v>
      </c>
      <c r="F260" s="1503" t="s">
        <v>390</v>
      </c>
      <c r="G260" s="1504"/>
      <c r="H260" s="293" t="s">
        <v>388</v>
      </c>
      <c r="I260" s="419">
        <v>1</v>
      </c>
      <c r="J260" s="659">
        <v>300000000</v>
      </c>
      <c r="K260" s="659">
        <v>300000000</v>
      </c>
      <c r="L260" s="1056"/>
      <c r="M260" s="1056"/>
      <c r="N260" s="319"/>
      <c r="O260" s="319"/>
      <c r="P260" s="583"/>
      <c r="Q260" s="504"/>
      <c r="T260" s="145"/>
    </row>
    <row r="261" spans="2:20" ht="3" customHeight="1" thickBot="1" x14ac:dyDescent="0.3">
      <c r="C261" s="420"/>
      <c r="D261" s="421"/>
      <c r="E261" s="421"/>
      <c r="F261" s="422"/>
      <c r="G261" s="423"/>
      <c r="H261" s="424"/>
      <c r="I261" s="425"/>
      <c r="J261" s="672"/>
      <c r="K261" s="426"/>
      <c r="L261" s="993"/>
      <c r="M261" s="993"/>
      <c r="N261" s="993"/>
      <c r="O261" s="101"/>
      <c r="P261" s="539"/>
      <c r="Q261" s="491"/>
    </row>
    <row r="262" spans="2:20" ht="13.5" thickTop="1" x14ac:dyDescent="0.25"/>
  </sheetData>
  <mergeCells count="167">
    <mergeCell ref="C2:K2"/>
    <mergeCell ref="C3:O3"/>
    <mergeCell ref="C4:O4"/>
    <mergeCell ref="C6:D6"/>
    <mergeCell ref="E6:G6"/>
    <mergeCell ref="C8:E9"/>
    <mergeCell ref="F8:G9"/>
    <mergeCell ref="H8:H9"/>
    <mergeCell ref="I8:I9"/>
    <mergeCell ref="J8:J9"/>
    <mergeCell ref="D13:G13"/>
    <mergeCell ref="E14:G14"/>
    <mergeCell ref="E15:G15"/>
    <mergeCell ref="E16:G16"/>
    <mergeCell ref="E17:G17"/>
    <mergeCell ref="E18:G18"/>
    <mergeCell ref="K8:K9"/>
    <mergeCell ref="P8:P9"/>
    <mergeCell ref="C10:E10"/>
    <mergeCell ref="F10:G10"/>
    <mergeCell ref="D11:G11"/>
    <mergeCell ref="D12:I12"/>
    <mergeCell ref="L8:M8"/>
    <mergeCell ref="E25:G25"/>
    <mergeCell ref="E26:G26"/>
    <mergeCell ref="E27:G27"/>
    <mergeCell ref="E28:G28"/>
    <mergeCell ref="E29:G29"/>
    <mergeCell ref="F30:G30"/>
    <mergeCell ref="E19:G19"/>
    <mergeCell ref="E20:G20"/>
    <mergeCell ref="E21:G21"/>
    <mergeCell ref="E22:G22"/>
    <mergeCell ref="F23:G23"/>
    <mergeCell ref="D24:G24"/>
    <mergeCell ref="E37:G37"/>
    <mergeCell ref="E38:G38"/>
    <mergeCell ref="F39:G39"/>
    <mergeCell ref="D40:G40"/>
    <mergeCell ref="E41:G41"/>
    <mergeCell ref="E42:G42"/>
    <mergeCell ref="F31:G31"/>
    <mergeCell ref="F32:G32"/>
    <mergeCell ref="E33:G33"/>
    <mergeCell ref="F34:G34"/>
    <mergeCell ref="F35:G35"/>
    <mergeCell ref="E36:G36"/>
    <mergeCell ref="E49:G49"/>
    <mergeCell ref="E50:G50"/>
    <mergeCell ref="D52:I52"/>
    <mergeCell ref="C53:D53"/>
    <mergeCell ref="E53:G53"/>
    <mergeCell ref="F54:G54"/>
    <mergeCell ref="D43:G43"/>
    <mergeCell ref="E44:G44"/>
    <mergeCell ref="E45:G45"/>
    <mergeCell ref="D46:G46"/>
    <mergeCell ref="E47:G47"/>
    <mergeCell ref="E48:G48"/>
    <mergeCell ref="F67:G67"/>
    <mergeCell ref="F68:G68"/>
    <mergeCell ref="F75:G75"/>
    <mergeCell ref="F89:G89"/>
    <mergeCell ref="F90:G90"/>
    <mergeCell ref="F92:G92"/>
    <mergeCell ref="F55:G55"/>
    <mergeCell ref="F58:G58"/>
    <mergeCell ref="F61:G61"/>
    <mergeCell ref="F62:G62"/>
    <mergeCell ref="F65:G65"/>
    <mergeCell ref="F66:G66"/>
    <mergeCell ref="F127:G127"/>
    <mergeCell ref="F129:G129"/>
    <mergeCell ref="F131:G131"/>
    <mergeCell ref="F136:G136"/>
    <mergeCell ref="C142:D142"/>
    <mergeCell ref="E142:G142"/>
    <mergeCell ref="F96:G96"/>
    <mergeCell ref="F101:G101"/>
    <mergeCell ref="F111:G111"/>
    <mergeCell ref="F114:G114"/>
    <mergeCell ref="F119:G119"/>
    <mergeCell ref="F125:G125"/>
    <mergeCell ref="F152:G152"/>
    <mergeCell ref="F153:G153"/>
    <mergeCell ref="F154:G154"/>
    <mergeCell ref="F155:G155"/>
    <mergeCell ref="F156:G156"/>
    <mergeCell ref="F160:G160"/>
    <mergeCell ref="F143:G143"/>
    <mergeCell ref="F144:G144"/>
    <mergeCell ref="F145:G145"/>
    <mergeCell ref="F146:G146"/>
    <mergeCell ref="F150:G150"/>
    <mergeCell ref="F151:G151"/>
    <mergeCell ref="F167:G167"/>
    <mergeCell ref="C168:D168"/>
    <mergeCell ref="E168:G168"/>
    <mergeCell ref="F169:G169"/>
    <mergeCell ref="F170:G170"/>
    <mergeCell ref="F171:G171"/>
    <mergeCell ref="F161:G161"/>
    <mergeCell ref="F162:G162"/>
    <mergeCell ref="F163:G163"/>
    <mergeCell ref="F164:G164"/>
    <mergeCell ref="F165:G165"/>
    <mergeCell ref="F166:G166"/>
    <mergeCell ref="F179:G179"/>
    <mergeCell ref="C181:D181"/>
    <mergeCell ref="E181:G181"/>
    <mergeCell ref="F182:G182"/>
    <mergeCell ref="F186:G186"/>
    <mergeCell ref="F189:G189"/>
    <mergeCell ref="F172:G172"/>
    <mergeCell ref="C173:D173"/>
    <mergeCell ref="E173:G173"/>
    <mergeCell ref="F174:G174"/>
    <mergeCell ref="F175:G175"/>
    <mergeCell ref="F177:G177"/>
    <mergeCell ref="F212:G212"/>
    <mergeCell ref="F213:G213"/>
    <mergeCell ref="F216:G216"/>
    <mergeCell ref="F217:G217"/>
    <mergeCell ref="F218:G218"/>
    <mergeCell ref="F219:G219"/>
    <mergeCell ref="F192:G192"/>
    <mergeCell ref="F195:G195"/>
    <mergeCell ref="F199:G199"/>
    <mergeCell ref="F202:G202"/>
    <mergeCell ref="F205:G205"/>
    <mergeCell ref="F209:G209"/>
    <mergeCell ref="C226:D226"/>
    <mergeCell ref="E226:G226"/>
    <mergeCell ref="F227:G227"/>
    <mergeCell ref="F228:G228"/>
    <mergeCell ref="C230:D230"/>
    <mergeCell ref="E230:G230"/>
    <mergeCell ref="F220:G220"/>
    <mergeCell ref="F221:G221"/>
    <mergeCell ref="C222:D222"/>
    <mergeCell ref="E222:G222"/>
    <mergeCell ref="F223:G223"/>
    <mergeCell ref="F224:G224"/>
    <mergeCell ref="C237:D237"/>
    <mergeCell ref="E237:G237"/>
    <mergeCell ref="F238:G238"/>
    <mergeCell ref="F241:G241"/>
    <mergeCell ref="F243:G243"/>
    <mergeCell ref="F246:G246"/>
    <mergeCell ref="F231:G231"/>
    <mergeCell ref="F232:G232"/>
    <mergeCell ref="F233:G233"/>
    <mergeCell ref="F234:G234"/>
    <mergeCell ref="F235:G235"/>
    <mergeCell ref="F236:G236"/>
    <mergeCell ref="F254:G254"/>
    <mergeCell ref="F255:G255"/>
    <mergeCell ref="F256:G256"/>
    <mergeCell ref="C259:D259"/>
    <mergeCell ref="E259:G259"/>
    <mergeCell ref="F260:G260"/>
    <mergeCell ref="F247:G247"/>
    <mergeCell ref="F248:G248"/>
    <mergeCell ref="F250:G250"/>
    <mergeCell ref="F251:G251"/>
    <mergeCell ref="C253:D253"/>
    <mergeCell ref="E253:G253"/>
  </mergeCells>
  <printOptions horizontalCentered="1"/>
  <pageMargins left="0.43307086614173229" right="0.43307086614173229" top="0.59055118110236227" bottom="0.39370078740157483" header="0" footer="0"/>
  <pageSetup paperSize="258" scale="62" fitToHeight="0" orientation="landscape" useFirstPageNumber="1" r:id="rId1"/>
  <headerFooter>
    <oddFooter>&amp;L&amp;"Cambria,Italic"&amp;7&amp;K05-049&amp;F / &amp;A&amp;C&amp;"Cambria,Italic"&amp;7&amp;K04-021Hal &amp;P dari &amp;N&amp;R&amp;"-,Italic"&amp;7&amp;K09-022&amp;D /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2:S239"/>
  <sheetViews>
    <sheetView view="pageBreakPreview" topLeftCell="A153" zoomScale="70" zoomScaleNormal="85" zoomScaleSheetLayoutView="70" workbookViewId="0">
      <selection activeCell="G108" sqref="G108:K109"/>
    </sheetView>
  </sheetViews>
  <sheetFormatPr defaultRowHeight="12.75" x14ac:dyDescent="0.25"/>
  <cols>
    <col min="1" max="1" width="9" style="53" customWidth="1"/>
    <col min="2" max="2" width="0.5703125" style="13" customWidth="1"/>
    <col min="3" max="3" width="3.28515625" style="427" customWidth="1"/>
    <col min="4" max="4" width="4.140625" style="428" customWidth="1"/>
    <col min="5" max="5" width="3.5703125" style="428" customWidth="1"/>
    <col min="6" max="6" width="2.7109375" style="428" customWidth="1"/>
    <col min="7" max="7" width="56.7109375" style="429" customWidth="1"/>
    <col min="8" max="8" width="52" style="430" customWidth="1"/>
    <col min="9" max="9" width="9.85546875" style="431" customWidth="1"/>
    <col min="10" max="10" width="19.5703125" style="432" customWidth="1"/>
    <col min="11" max="11" width="22.140625" style="432" customWidth="1"/>
    <col min="12" max="12" width="20.140625" style="432" hidden="1" customWidth="1"/>
    <col min="13" max="13" width="22.140625" style="432" hidden="1" customWidth="1"/>
    <col min="14" max="14" width="0.5703125" style="291" customWidth="1"/>
    <col min="15" max="15" width="17.5703125" style="431" customWidth="1"/>
    <col min="16" max="16" width="4.85546875" style="500" customWidth="1"/>
    <col min="17" max="17" width="24.140625" style="53" customWidth="1"/>
    <col min="18" max="19" width="14.140625" style="53" customWidth="1"/>
    <col min="20" max="28" width="10.5703125" style="53" customWidth="1"/>
    <col min="29" max="234" width="9.140625" style="53"/>
    <col min="235" max="235" width="1.7109375" style="53" customWidth="1"/>
    <col min="236" max="237" width="4.7109375" style="53" customWidth="1"/>
    <col min="238" max="238" width="54.140625" style="53" customWidth="1"/>
    <col min="239" max="239" width="52" style="53" customWidth="1"/>
    <col min="240" max="240" width="5.28515625" style="53" customWidth="1"/>
    <col min="241" max="241" width="5.85546875" style="53" bestFit="1" customWidth="1"/>
    <col min="242" max="242" width="16.42578125" style="53" customWidth="1"/>
    <col min="243" max="243" width="4.5703125" style="53" customWidth="1"/>
    <col min="244" max="244" width="14.140625" style="53" customWidth="1"/>
    <col min="245" max="245" width="27.140625" style="53" customWidth="1"/>
    <col min="246" max="246" width="16.28515625" style="53" customWidth="1"/>
    <col min="247" max="247" width="13.85546875" style="53" customWidth="1"/>
    <col min="248" max="490" width="9.140625" style="53"/>
    <col min="491" max="491" width="1.7109375" style="53" customWidth="1"/>
    <col min="492" max="493" width="4.7109375" style="53" customWidth="1"/>
    <col min="494" max="494" width="54.140625" style="53" customWidth="1"/>
    <col min="495" max="495" width="52" style="53" customWidth="1"/>
    <col min="496" max="496" width="5.28515625" style="53" customWidth="1"/>
    <col min="497" max="497" width="5.85546875" style="53" bestFit="1" customWidth="1"/>
    <col min="498" max="498" width="16.42578125" style="53" customWidth="1"/>
    <col min="499" max="499" width="4.5703125" style="53" customWidth="1"/>
    <col min="500" max="500" width="14.140625" style="53" customWidth="1"/>
    <col min="501" max="501" width="27.140625" style="53" customWidth="1"/>
    <col min="502" max="502" width="16.28515625" style="53" customWidth="1"/>
    <col min="503" max="503" width="13.85546875" style="53" customWidth="1"/>
    <col min="504" max="746" width="9.140625" style="53"/>
    <col min="747" max="747" width="1.7109375" style="53" customWidth="1"/>
    <col min="748" max="749" width="4.7109375" style="53" customWidth="1"/>
    <col min="750" max="750" width="54.140625" style="53" customWidth="1"/>
    <col min="751" max="751" width="52" style="53" customWidth="1"/>
    <col min="752" max="752" width="5.28515625" style="53" customWidth="1"/>
    <col min="753" max="753" width="5.85546875" style="53" bestFit="1" customWidth="1"/>
    <col min="754" max="754" width="16.42578125" style="53" customWidth="1"/>
    <col min="755" max="755" width="4.5703125" style="53" customWidth="1"/>
    <col min="756" max="756" width="14.140625" style="53" customWidth="1"/>
    <col min="757" max="757" width="27.140625" style="53" customWidth="1"/>
    <col min="758" max="758" width="16.28515625" style="53" customWidth="1"/>
    <col min="759" max="759" width="13.85546875" style="53" customWidth="1"/>
    <col min="760" max="1002" width="9.140625" style="53"/>
    <col min="1003" max="1003" width="1.7109375" style="53" customWidth="1"/>
    <col min="1004" max="1005" width="4.7109375" style="53" customWidth="1"/>
    <col min="1006" max="1006" width="54.140625" style="53" customWidth="1"/>
    <col min="1007" max="1007" width="52" style="53" customWidth="1"/>
    <col min="1008" max="1008" width="5.28515625" style="53" customWidth="1"/>
    <col min="1009" max="1009" width="5.85546875" style="53" bestFit="1" customWidth="1"/>
    <col min="1010" max="1010" width="16.42578125" style="53" customWidth="1"/>
    <col min="1011" max="1011" width="4.5703125" style="53" customWidth="1"/>
    <col min="1012" max="1012" width="14.140625" style="53" customWidth="1"/>
    <col min="1013" max="1013" width="27.140625" style="53" customWidth="1"/>
    <col min="1014" max="1014" width="16.28515625" style="53" customWidth="1"/>
    <col min="1015" max="1015" width="13.85546875" style="53" customWidth="1"/>
    <col min="1016" max="1258" width="9.140625" style="53"/>
    <col min="1259" max="1259" width="1.7109375" style="53" customWidth="1"/>
    <col min="1260" max="1261" width="4.7109375" style="53" customWidth="1"/>
    <col min="1262" max="1262" width="54.140625" style="53" customWidth="1"/>
    <col min="1263" max="1263" width="52" style="53" customWidth="1"/>
    <col min="1264" max="1264" width="5.28515625" style="53" customWidth="1"/>
    <col min="1265" max="1265" width="5.85546875" style="53" bestFit="1" customWidth="1"/>
    <col min="1266" max="1266" width="16.42578125" style="53" customWidth="1"/>
    <col min="1267" max="1267" width="4.5703125" style="53" customWidth="1"/>
    <col min="1268" max="1268" width="14.140625" style="53" customWidth="1"/>
    <col min="1269" max="1269" width="27.140625" style="53" customWidth="1"/>
    <col min="1270" max="1270" width="16.28515625" style="53" customWidth="1"/>
    <col min="1271" max="1271" width="13.85546875" style="53" customWidth="1"/>
    <col min="1272" max="1514" width="9.140625" style="53"/>
    <col min="1515" max="1515" width="1.7109375" style="53" customWidth="1"/>
    <col min="1516" max="1517" width="4.7109375" style="53" customWidth="1"/>
    <col min="1518" max="1518" width="54.140625" style="53" customWidth="1"/>
    <col min="1519" max="1519" width="52" style="53" customWidth="1"/>
    <col min="1520" max="1520" width="5.28515625" style="53" customWidth="1"/>
    <col min="1521" max="1521" width="5.85546875" style="53" bestFit="1" customWidth="1"/>
    <col min="1522" max="1522" width="16.42578125" style="53" customWidth="1"/>
    <col min="1523" max="1523" width="4.5703125" style="53" customWidth="1"/>
    <col min="1524" max="1524" width="14.140625" style="53" customWidth="1"/>
    <col min="1525" max="1525" width="27.140625" style="53" customWidth="1"/>
    <col min="1526" max="1526" width="16.28515625" style="53" customWidth="1"/>
    <col min="1527" max="1527" width="13.85546875" style="53" customWidth="1"/>
    <col min="1528" max="1770" width="9.140625" style="53"/>
    <col min="1771" max="1771" width="1.7109375" style="53" customWidth="1"/>
    <col min="1772" max="1773" width="4.7109375" style="53" customWidth="1"/>
    <col min="1774" max="1774" width="54.140625" style="53" customWidth="1"/>
    <col min="1775" max="1775" width="52" style="53" customWidth="1"/>
    <col min="1776" max="1776" width="5.28515625" style="53" customWidth="1"/>
    <col min="1777" max="1777" width="5.85546875" style="53" bestFit="1" customWidth="1"/>
    <col min="1778" max="1778" width="16.42578125" style="53" customWidth="1"/>
    <col min="1779" max="1779" width="4.5703125" style="53" customWidth="1"/>
    <col min="1780" max="1780" width="14.140625" style="53" customWidth="1"/>
    <col min="1781" max="1781" width="27.140625" style="53" customWidth="1"/>
    <col min="1782" max="1782" width="16.28515625" style="53" customWidth="1"/>
    <col min="1783" max="1783" width="13.85546875" style="53" customWidth="1"/>
    <col min="1784" max="2026" width="9.140625" style="53"/>
    <col min="2027" max="2027" width="1.7109375" style="53" customWidth="1"/>
    <col min="2028" max="2029" width="4.7109375" style="53" customWidth="1"/>
    <col min="2030" max="2030" width="54.140625" style="53" customWidth="1"/>
    <col min="2031" max="2031" width="52" style="53" customWidth="1"/>
    <col min="2032" max="2032" width="5.28515625" style="53" customWidth="1"/>
    <col min="2033" max="2033" width="5.85546875" style="53" bestFit="1" customWidth="1"/>
    <col min="2034" max="2034" width="16.42578125" style="53" customWidth="1"/>
    <col min="2035" max="2035" width="4.5703125" style="53" customWidth="1"/>
    <col min="2036" max="2036" width="14.140625" style="53" customWidth="1"/>
    <col min="2037" max="2037" width="27.140625" style="53" customWidth="1"/>
    <col min="2038" max="2038" width="16.28515625" style="53" customWidth="1"/>
    <col min="2039" max="2039" width="13.85546875" style="53" customWidth="1"/>
    <col min="2040" max="2282" width="9.140625" style="53"/>
    <col min="2283" max="2283" width="1.7109375" style="53" customWidth="1"/>
    <col min="2284" max="2285" width="4.7109375" style="53" customWidth="1"/>
    <col min="2286" max="2286" width="54.140625" style="53" customWidth="1"/>
    <col min="2287" max="2287" width="52" style="53" customWidth="1"/>
    <col min="2288" max="2288" width="5.28515625" style="53" customWidth="1"/>
    <col min="2289" max="2289" width="5.85546875" style="53" bestFit="1" customWidth="1"/>
    <col min="2290" max="2290" width="16.42578125" style="53" customWidth="1"/>
    <col min="2291" max="2291" width="4.5703125" style="53" customWidth="1"/>
    <col min="2292" max="2292" width="14.140625" style="53" customWidth="1"/>
    <col min="2293" max="2293" width="27.140625" style="53" customWidth="1"/>
    <col min="2294" max="2294" width="16.28515625" style="53" customWidth="1"/>
    <col min="2295" max="2295" width="13.85546875" style="53" customWidth="1"/>
    <col min="2296" max="2538" width="9.140625" style="53"/>
    <col min="2539" max="2539" width="1.7109375" style="53" customWidth="1"/>
    <col min="2540" max="2541" width="4.7109375" style="53" customWidth="1"/>
    <col min="2542" max="2542" width="54.140625" style="53" customWidth="1"/>
    <col min="2543" max="2543" width="52" style="53" customWidth="1"/>
    <col min="2544" max="2544" width="5.28515625" style="53" customWidth="1"/>
    <col min="2545" max="2545" width="5.85546875" style="53" bestFit="1" customWidth="1"/>
    <col min="2546" max="2546" width="16.42578125" style="53" customWidth="1"/>
    <col min="2547" max="2547" width="4.5703125" style="53" customWidth="1"/>
    <col min="2548" max="2548" width="14.140625" style="53" customWidth="1"/>
    <col min="2549" max="2549" width="27.140625" style="53" customWidth="1"/>
    <col min="2550" max="2550" width="16.28515625" style="53" customWidth="1"/>
    <col min="2551" max="2551" width="13.85546875" style="53" customWidth="1"/>
    <col min="2552" max="2794" width="9.140625" style="53"/>
    <col min="2795" max="2795" width="1.7109375" style="53" customWidth="1"/>
    <col min="2796" max="2797" width="4.7109375" style="53" customWidth="1"/>
    <col min="2798" max="2798" width="54.140625" style="53" customWidth="1"/>
    <col min="2799" max="2799" width="52" style="53" customWidth="1"/>
    <col min="2800" max="2800" width="5.28515625" style="53" customWidth="1"/>
    <col min="2801" max="2801" width="5.85546875" style="53" bestFit="1" customWidth="1"/>
    <col min="2802" max="2802" width="16.42578125" style="53" customWidth="1"/>
    <col min="2803" max="2803" width="4.5703125" style="53" customWidth="1"/>
    <col min="2804" max="2804" width="14.140625" style="53" customWidth="1"/>
    <col min="2805" max="2805" width="27.140625" style="53" customWidth="1"/>
    <col min="2806" max="2806" width="16.28515625" style="53" customWidth="1"/>
    <col min="2807" max="2807" width="13.85546875" style="53" customWidth="1"/>
    <col min="2808" max="3050" width="9.140625" style="53"/>
    <col min="3051" max="3051" width="1.7109375" style="53" customWidth="1"/>
    <col min="3052" max="3053" width="4.7109375" style="53" customWidth="1"/>
    <col min="3054" max="3054" width="54.140625" style="53" customWidth="1"/>
    <col min="3055" max="3055" width="52" style="53" customWidth="1"/>
    <col min="3056" max="3056" width="5.28515625" style="53" customWidth="1"/>
    <col min="3057" max="3057" width="5.85546875" style="53" bestFit="1" customWidth="1"/>
    <col min="3058" max="3058" width="16.42578125" style="53" customWidth="1"/>
    <col min="3059" max="3059" width="4.5703125" style="53" customWidth="1"/>
    <col min="3060" max="3060" width="14.140625" style="53" customWidth="1"/>
    <col min="3061" max="3061" width="27.140625" style="53" customWidth="1"/>
    <col min="3062" max="3062" width="16.28515625" style="53" customWidth="1"/>
    <col min="3063" max="3063" width="13.85546875" style="53" customWidth="1"/>
    <col min="3064" max="3306" width="9.140625" style="53"/>
    <col min="3307" max="3307" width="1.7109375" style="53" customWidth="1"/>
    <col min="3308" max="3309" width="4.7109375" style="53" customWidth="1"/>
    <col min="3310" max="3310" width="54.140625" style="53" customWidth="1"/>
    <col min="3311" max="3311" width="52" style="53" customWidth="1"/>
    <col min="3312" max="3312" width="5.28515625" style="53" customWidth="1"/>
    <col min="3313" max="3313" width="5.85546875" style="53" bestFit="1" customWidth="1"/>
    <col min="3314" max="3314" width="16.42578125" style="53" customWidth="1"/>
    <col min="3315" max="3315" width="4.5703125" style="53" customWidth="1"/>
    <col min="3316" max="3316" width="14.140625" style="53" customWidth="1"/>
    <col min="3317" max="3317" width="27.140625" style="53" customWidth="1"/>
    <col min="3318" max="3318" width="16.28515625" style="53" customWidth="1"/>
    <col min="3319" max="3319" width="13.85546875" style="53" customWidth="1"/>
    <col min="3320" max="3562" width="9.140625" style="53"/>
    <col min="3563" max="3563" width="1.7109375" style="53" customWidth="1"/>
    <col min="3564" max="3565" width="4.7109375" style="53" customWidth="1"/>
    <col min="3566" max="3566" width="54.140625" style="53" customWidth="1"/>
    <col min="3567" max="3567" width="52" style="53" customWidth="1"/>
    <col min="3568" max="3568" width="5.28515625" style="53" customWidth="1"/>
    <col min="3569" max="3569" width="5.85546875" style="53" bestFit="1" customWidth="1"/>
    <col min="3570" max="3570" width="16.42578125" style="53" customWidth="1"/>
    <col min="3571" max="3571" width="4.5703125" style="53" customWidth="1"/>
    <col min="3572" max="3572" width="14.140625" style="53" customWidth="1"/>
    <col min="3573" max="3573" width="27.140625" style="53" customWidth="1"/>
    <col min="3574" max="3574" width="16.28515625" style="53" customWidth="1"/>
    <col min="3575" max="3575" width="13.85546875" style="53" customWidth="1"/>
    <col min="3576" max="3818" width="9.140625" style="53"/>
    <col min="3819" max="3819" width="1.7109375" style="53" customWidth="1"/>
    <col min="3820" max="3821" width="4.7109375" style="53" customWidth="1"/>
    <col min="3822" max="3822" width="54.140625" style="53" customWidth="1"/>
    <col min="3823" max="3823" width="52" style="53" customWidth="1"/>
    <col min="3824" max="3824" width="5.28515625" style="53" customWidth="1"/>
    <col min="3825" max="3825" width="5.85546875" style="53" bestFit="1" customWidth="1"/>
    <col min="3826" max="3826" width="16.42578125" style="53" customWidth="1"/>
    <col min="3827" max="3827" width="4.5703125" style="53" customWidth="1"/>
    <col min="3828" max="3828" width="14.140625" style="53" customWidth="1"/>
    <col min="3829" max="3829" width="27.140625" style="53" customWidth="1"/>
    <col min="3830" max="3830" width="16.28515625" style="53" customWidth="1"/>
    <col min="3831" max="3831" width="13.85546875" style="53" customWidth="1"/>
    <col min="3832" max="4074" width="9.140625" style="53"/>
    <col min="4075" max="4075" width="1.7109375" style="53" customWidth="1"/>
    <col min="4076" max="4077" width="4.7109375" style="53" customWidth="1"/>
    <col min="4078" max="4078" width="54.140625" style="53" customWidth="1"/>
    <col min="4079" max="4079" width="52" style="53" customWidth="1"/>
    <col min="4080" max="4080" width="5.28515625" style="53" customWidth="1"/>
    <col min="4081" max="4081" width="5.85546875" style="53" bestFit="1" customWidth="1"/>
    <col min="4082" max="4082" width="16.42578125" style="53" customWidth="1"/>
    <col min="4083" max="4083" width="4.5703125" style="53" customWidth="1"/>
    <col min="4084" max="4084" width="14.140625" style="53" customWidth="1"/>
    <col min="4085" max="4085" width="27.140625" style="53" customWidth="1"/>
    <col min="4086" max="4086" width="16.28515625" style="53" customWidth="1"/>
    <col min="4087" max="4087" width="13.85546875" style="53" customWidth="1"/>
    <col min="4088" max="4330" width="9.140625" style="53"/>
    <col min="4331" max="4331" width="1.7109375" style="53" customWidth="1"/>
    <col min="4332" max="4333" width="4.7109375" style="53" customWidth="1"/>
    <col min="4334" max="4334" width="54.140625" style="53" customWidth="1"/>
    <col min="4335" max="4335" width="52" style="53" customWidth="1"/>
    <col min="4336" max="4336" width="5.28515625" style="53" customWidth="1"/>
    <col min="4337" max="4337" width="5.85546875" style="53" bestFit="1" customWidth="1"/>
    <col min="4338" max="4338" width="16.42578125" style="53" customWidth="1"/>
    <col min="4339" max="4339" width="4.5703125" style="53" customWidth="1"/>
    <col min="4340" max="4340" width="14.140625" style="53" customWidth="1"/>
    <col min="4341" max="4341" width="27.140625" style="53" customWidth="1"/>
    <col min="4342" max="4342" width="16.28515625" style="53" customWidth="1"/>
    <col min="4343" max="4343" width="13.85546875" style="53" customWidth="1"/>
    <col min="4344" max="4586" width="9.140625" style="53"/>
    <col min="4587" max="4587" width="1.7109375" style="53" customWidth="1"/>
    <col min="4588" max="4589" width="4.7109375" style="53" customWidth="1"/>
    <col min="4590" max="4590" width="54.140625" style="53" customWidth="1"/>
    <col min="4591" max="4591" width="52" style="53" customWidth="1"/>
    <col min="4592" max="4592" width="5.28515625" style="53" customWidth="1"/>
    <col min="4593" max="4593" width="5.85546875" style="53" bestFit="1" customWidth="1"/>
    <col min="4594" max="4594" width="16.42578125" style="53" customWidth="1"/>
    <col min="4595" max="4595" width="4.5703125" style="53" customWidth="1"/>
    <col min="4596" max="4596" width="14.140625" style="53" customWidth="1"/>
    <col min="4597" max="4597" width="27.140625" style="53" customWidth="1"/>
    <col min="4598" max="4598" width="16.28515625" style="53" customWidth="1"/>
    <col min="4599" max="4599" width="13.85546875" style="53" customWidth="1"/>
    <col min="4600" max="4842" width="9.140625" style="53"/>
    <col min="4843" max="4843" width="1.7109375" style="53" customWidth="1"/>
    <col min="4844" max="4845" width="4.7109375" style="53" customWidth="1"/>
    <col min="4846" max="4846" width="54.140625" style="53" customWidth="1"/>
    <col min="4847" max="4847" width="52" style="53" customWidth="1"/>
    <col min="4848" max="4848" width="5.28515625" style="53" customWidth="1"/>
    <col min="4849" max="4849" width="5.85546875" style="53" bestFit="1" customWidth="1"/>
    <col min="4850" max="4850" width="16.42578125" style="53" customWidth="1"/>
    <col min="4851" max="4851" width="4.5703125" style="53" customWidth="1"/>
    <col min="4852" max="4852" width="14.140625" style="53" customWidth="1"/>
    <col min="4853" max="4853" width="27.140625" style="53" customWidth="1"/>
    <col min="4854" max="4854" width="16.28515625" style="53" customWidth="1"/>
    <col min="4855" max="4855" width="13.85546875" style="53" customWidth="1"/>
    <col min="4856" max="5098" width="9.140625" style="53"/>
    <col min="5099" max="5099" width="1.7109375" style="53" customWidth="1"/>
    <col min="5100" max="5101" width="4.7109375" style="53" customWidth="1"/>
    <col min="5102" max="5102" width="54.140625" style="53" customWidth="1"/>
    <col min="5103" max="5103" width="52" style="53" customWidth="1"/>
    <col min="5104" max="5104" width="5.28515625" style="53" customWidth="1"/>
    <col min="5105" max="5105" width="5.85546875" style="53" bestFit="1" customWidth="1"/>
    <col min="5106" max="5106" width="16.42578125" style="53" customWidth="1"/>
    <col min="5107" max="5107" width="4.5703125" style="53" customWidth="1"/>
    <col min="5108" max="5108" width="14.140625" style="53" customWidth="1"/>
    <col min="5109" max="5109" width="27.140625" style="53" customWidth="1"/>
    <col min="5110" max="5110" width="16.28515625" style="53" customWidth="1"/>
    <col min="5111" max="5111" width="13.85546875" style="53" customWidth="1"/>
    <col min="5112" max="5354" width="9.140625" style="53"/>
    <col min="5355" max="5355" width="1.7109375" style="53" customWidth="1"/>
    <col min="5356" max="5357" width="4.7109375" style="53" customWidth="1"/>
    <col min="5358" max="5358" width="54.140625" style="53" customWidth="1"/>
    <col min="5359" max="5359" width="52" style="53" customWidth="1"/>
    <col min="5360" max="5360" width="5.28515625" style="53" customWidth="1"/>
    <col min="5361" max="5361" width="5.85546875" style="53" bestFit="1" customWidth="1"/>
    <col min="5362" max="5362" width="16.42578125" style="53" customWidth="1"/>
    <col min="5363" max="5363" width="4.5703125" style="53" customWidth="1"/>
    <col min="5364" max="5364" width="14.140625" style="53" customWidth="1"/>
    <col min="5365" max="5365" width="27.140625" style="53" customWidth="1"/>
    <col min="5366" max="5366" width="16.28515625" style="53" customWidth="1"/>
    <col min="5367" max="5367" width="13.85546875" style="53" customWidth="1"/>
    <col min="5368" max="5610" width="9.140625" style="53"/>
    <col min="5611" max="5611" width="1.7109375" style="53" customWidth="1"/>
    <col min="5612" max="5613" width="4.7109375" style="53" customWidth="1"/>
    <col min="5614" max="5614" width="54.140625" style="53" customWidth="1"/>
    <col min="5615" max="5615" width="52" style="53" customWidth="1"/>
    <col min="5616" max="5616" width="5.28515625" style="53" customWidth="1"/>
    <col min="5617" max="5617" width="5.85546875" style="53" bestFit="1" customWidth="1"/>
    <col min="5618" max="5618" width="16.42578125" style="53" customWidth="1"/>
    <col min="5619" max="5619" width="4.5703125" style="53" customWidth="1"/>
    <col min="5620" max="5620" width="14.140625" style="53" customWidth="1"/>
    <col min="5621" max="5621" width="27.140625" style="53" customWidth="1"/>
    <col min="5622" max="5622" width="16.28515625" style="53" customWidth="1"/>
    <col min="5623" max="5623" width="13.85546875" style="53" customWidth="1"/>
    <col min="5624" max="5866" width="9.140625" style="53"/>
    <col min="5867" max="5867" width="1.7109375" style="53" customWidth="1"/>
    <col min="5868" max="5869" width="4.7109375" style="53" customWidth="1"/>
    <col min="5870" max="5870" width="54.140625" style="53" customWidth="1"/>
    <col min="5871" max="5871" width="52" style="53" customWidth="1"/>
    <col min="5872" max="5872" width="5.28515625" style="53" customWidth="1"/>
    <col min="5873" max="5873" width="5.85546875" style="53" bestFit="1" customWidth="1"/>
    <col min="5874" max="5874" width="16.42578125" style="53" customWidth="1"/>
    <col min="5875" max="5875" width="4.5703125" style="53" customWidth="1"/>
    <col min="5876" max="5876" width="14.140625" style="53" customWidth="1"/>
    <col min="5877" max="5877" width="27.140625" style="53" customWidth="1"/>
    <col min="5878" max="5878" width="16.28515625" style="53" customWidth="1"/>
    <col min="5879" max="5879" width="13.85546875" style="53" customWidth="1"/>
    <col min="5880" max="6122" width="9.140625" style="53"/>
    <col min="6123" max="6123" width="1.7109375" style="53" customWidth="1"/>
    <col min="6124" max="6125" width="4.7109375" style="53" customWidth="1"/>
    <col min="6126" max="6126" width="54.140625" style="53" customWidth="1"/>
    <col min="6127" max="6127" width="52" style="53" customWidth="1"/>
    <col min="6128" max="6128" width="5.28515625" style="53" customWidth="1"/>
    <col min="6129" max="6129" width="5.85546875" style="53" bestFit="1" customWidth="1"/>
    <col min="6130" max="6130" width="16.42578125" style="53" customWidth="1"/>
    <col min="6131" max="6131" width="4.5703125" style="53" customWidth="1"/>
    <col min="6132" max="6132" width="14.140625" style="53" customWidth="1"/>
    <col min="6133" max="6133" width="27.140625" style="53" customWidth="1"/>
    <col min="6134" max="6134" width="16.28515625" style="53" customWidth="1"/>
    <col min="6135" max="6135" width="13.85546875" style="53" customWidth="1"/>
    <col min="6136" max="6378" width="9.140625" style="53"/>
    <col min="6379" max="6379" width="1.7109375" style="53" customWidth="1"/>
    <col min="6380" max="6381" width="4.7109375" style="53" customWidth="1"/>
    <col min="6382" max="6382" width="54.140625" style="53" customWidth="1"/>
    <col min="6383" max="6383" width="52" style="53" customWidth="1"/>
    <col min="6384" max="6384" width="5.28515625" style="53" customWidth="1"/>
    <col min="6385" max="6385" width="5.85546875" style="53" bestFit="1" customWidth="1"/>
    <col min="6386" max="6386" width="16.42578125" style="53" customWidth="1"/>
    <col min="6387" max="6387" width="4.5703125" style="53" customWidth="1"/>
    <col min="6388" max="6388" width="14.140625" style="53" customWidth="1"/>
    <col min="6389" max="6389" width="27.140625" style="53" customWidth="1"/>
    <col min="6390" max="6390" width="16.28515625" style="53" customWidth="1"/>
    <col min="6391" max="6391" width="13.85546875" style="53" customWidth="1"/>
    <col min="6392" max="6634" width="9.140625" style="53"/>
    <col min="6635" max="6635" width="1.7109375" style="53" customWidth="1"/>
    <col min="6636" max="6637" width="4.7109375" style="53" customWidth="1"/>
    <col min="6638" max="6638" width="54.140625" style="53" customWidth="1"/>
    <col min="6639" max="6639" width="52" style="53" customWidth="1"/>
    <col min="6640" max="6640" width="5.28515625" style="53" customWidth="1"/>
    <col min="6641" max="6641" width="5.85546875" style="53" bestFit="1" customWidth="1"/>
    <col min="6642" max="6642" width="16.42578125" style="53" customWidth="1"/>
    <col min="6643" max="6643" width="4.5703125" style="53" customWidth="1"/>
    <col min="6644" max="6644" width="14.140625" style="53" customWidth="1"/>
    <col min="6645" max="6645" width="27.140625" style="53" customWidth="1"/>
    <col min="6646" max="6646" width="16.28515625" style="53" customWidth="1"/>
    <col min="6647" max="6647" width="13.85546875" style="53" customWidth="1"/>
    <col min="6648" max="6890" width="9.140625" style="53"/>
    <col min="6891" max="6891" width="1.7109375" style="53" customWidth="1"/>
    <col min="6892" max="6893" width="4.7109375" style="53" customWidth="1"/>
    <col min="6894" max="6894" width="54.140625" style="53" customWidth="1"/>
    <col min="6895" max="6895" width="52" style="53" customWidth="1"/>
    <col min="6896" max="6896" width="5.28515625" style="53" customWidth="1"/>
    <col min="6897" max="6897" width="5.85546875" style="53" bestFit="1" customWidth="1"/>
    <col min="6898" max="6898" width="16.42578125" style="53" customWidth="1"/>
    <col min="6899" max="6899" width="4.5703125" style="53" customWidth="1"/>
    <col min="6900" max="6900" width="14.140625" style="53" customWidth="1"/>
    <col min="6901" max="6901" width="27.140625" style="53" customWidth="1"/>
    <col min="6902" max="6902" width="16.28515625" style="53" customWidth="1"/>
    <col min="6903" max="6903" width="13.85546875" style="53" customWidth="1"/>
    <col min="6904" max="7146" width="9.140625" style="53"/>
    <col min="7147" max="7147" width="1.7109375" style="53" customWidth="1"/>
    <col min="7148" max="7149" width="4.7109375" style="53" customWidth="1"/>
    <col min="7150" max="7150" width="54.140625" style="53" customWidth="1"/>
    <col min="7151" max="7151" width="52" style="53" customWidth="1"/>
    <col min="7152" max="7152" width="5.28515625" style="53" customWidth="1"/>
    <col min="7153" max="7153" width="5.85546875" style="53" bestFit="1" customWidth="1"/>
    <col min="7154" max="7154" width="16.42578125" style="53" customWidth="1"/>
    <col min="7155" max="7155" width="4.5703125" style="53" customWidth="1"/>
    <col min="7156" max="7156" width="14.140625" style="53" customWidth="1"/>
    <col min="7157" max="7157" width="27.140625" style="53" customWidth="1"/>
    <col min="7158" max="7158" width="16.28515625" style="53" customWidth="1"/>
    <col min="7159" max="7159" width="13.85546875" style="53" customWidth="1"/>
    <col min="7160" max="7402" width="9.140625" style="53"/>
    <col min="7403" max="7403" width="1.7109375" style="53" customWidth="1"/>
    <col min="7404" max="7405" width="4.7109375" style="53" customWidth="1"/>
    <col min="7406" max="7406" width="54.140625" style="53" customWidth="1"/>
    <col min="7407" max="7407" width="52" style="53" customWidth="1"/>
    <col min="7408" max="7408" width="5.28515625" style="53" customWidth="1"/>
    <col min="7409" max="7409" width="5.85546875" style="53" bestFit="1" customWidth="1"/>
    <col min="7410" max="7410" width="16.42578125" style="53" customWidth="1"/>
    <col min="7411" max="7411" width="4.5703125" style="53" customWidth="1"/>
    <col min="7412" max="7412" width="14.140625" style="53" customWidth="1"/>
    <col min="7413" max="7413" width="27.140625" style="53" customWidth="1"/>
    <col min="7414" max="7414" width="16.28515625" style="53" customWidth="1"/>
    <col min="7415" max="7415" width="13.85546875" style="53" customWidth="1"/>
    <col min="7416" max="7658" width="9.140625" style="53"/>
    <col min="7659" max="7659" width="1.7109375" style="53" customWidth="1"/>
    <col min="7660" max="7661" width="4.7109375" style="53" customWidth="1"/>
    <col min="7662" max="7662" width="54.140625" style="53" customWidth="1"/>
    <col min="7663" max="7663" width="52" style="53" customWidth="1"/>
    <col min="7664" max="7664" width="5.28515625" style="53" customWidth="1"/>
    <col min="7665" max="7665" width="5.85546875" style="53" bestFit="1" customWidth="1"/>
    <col min="7666" max="7666" width="16.42578125" style="53" customWidth="1"/>
    <col min="7667" max="7667" width="4.5703125" style="53" customWidth="1"/>
    <col min="7668" max="7668" width="14.140625" style="53" customWidth="1"/>
    <col min="7669" max="7669" width="27.140625" style="53" customWidth="1"/>
    <col min="7670" max="7670" width="16.28515625" style="53" customWidth="1"/>
    <col min="7671" max="7671" width="13.85546875" style="53" customWidth="1"/>
    <col min="7672" max="7914" width="9.140625" style="53"/>
    <col min="7915" max="7915" width="1.7109375" style="53" customWidth="1"/>
    <col min="7916" max="7917" width="4.7109375" style="53" customWidth="1"/>
    <col min="7918" max="7918" width="54.140625" style="53" customWidth="1"/>
    <col min="7919" max="7919" width="52" style="53" customWidth="1"/>
    <col min="7920" max="7920" width="5.28515625" style="53" customWidth="1"/>
    <col min="7921" max="7921" width="5.85546875" style="53" bestFit="1" customWidth="1"/>
    <col min="7922" max="7922" width="16.42578125" style="53" customWidth="1"/>
    <col min="7923" max="7923" width="4.5703125" style="53" customWidth="1"/>
    <col min="7924" max="7924" width="14.140625" style="53" customWidth="1"/>
    <col min="7925" max="7925" width="27.140625" style="53" customWidth="1"/>
    <col min="7926" max="7926" width="16.28515625" style="53" customWidth="1"/>
    <col min="7927" max="7927" width="13.85546875" style="53" customWidth="1"/>
    <col min="7928" max="8170" width="9.140625" style="53"/>
    <col min="8171" max="8171" width="1.7109375" style="53" customWidth="1"/>
    <col min="8172" max="8173" width="4.7109375" style="53" customWidth="1"/>
    <col min="8174" max="8174" width="54.140625" style="53" customWidth="1"/>
    <col min="8175" max="8175" width="52" style="53" customWidth="1"/>
    <col min="8176" max="8176" width="5.28515625" style="53" customWidth="1"/>
    <col min="8177" max="8177" width="5.85546875" style="53" bestFit="1" customWidth="1"/>
    <col min="8178" max="8178" width="16.42578125" style="53" customWidth="1"/>
    <col min="8179" max="8179" width="4.5703125" style="53" customWidth="1"/>
    <col min="8180" max="8180" width="14.140625" style="53" customWidth="1"/>
    <col min="8181" max="8181" width="27.140625" style="53" customWidth="1"/>
    <col min="8182" max="8182" width="16.28515625" style="53" customWidth="1"/>
    <col min="8183" max="8183" width="13.85546875" style="53" customWidth="1"/>
    <col min="8184" max="8426" width="9.140625" style="53"/>
    <col min="8427" max="8427" width="1.7109375" style="53" customWidth="1"/>
    <col min="8428" max="8429" width="4.7109375" style="53" customWidth="1"/>
    <col min="8430" max="8430" width="54.140625" style="53" customWidth="1"/>
    <col min="8431" max="8431" width="52" style="53" customWidth="1"/>
    <col min="8432" max="8432" width="5.28515625" style="53" customWidth="1"/>
    <col min="8433" max="8433" width="5.85546875" style="53" bestFit="1" customWidth="1"/>
    <col min="8434" max="8434" width="16.42578125" style="53" customWidth="1"/>
    <col min="8435" max="8435" width="4.5703125" style="53" customWidth="1"/>
    <col min="8436" max="8436" width="14.140625" style="53" customWidth="1"/>
    <col min="8437" max="8437" width="27.140625" style="53" customWidth="1"/>
    <col min="8438" max="8438" width="16.28515625" style="53" customWidth="1"/>
    <col min="8439" max="8439" width="13.85546875" style="53" customWidth="1"/>
    <col min="8440" max="8682" width="9.140625" style="53"/>
    <col min="8683" max="8683" width="1.7109375" style="53" customWidth="1"/>
    <col min="8684" max="8685" width="4.7109375" style="53" customWidth="1"/>
    <col min="8686" max="8686" width="54.140625" style="53" customWidth="1"/>
    <col min="8687" max="8687" width="52" style="53" customWidth="1"/>
    <col min="8688" max="8688" width="5.28515625" style="53" customWidth="1"/>
    <col min="8689" max="8689" width="5.85546875" style="53" bestFit="1" customWidth="1"/>
    <col min="8690" max="8690" width="16.42578125" style="53" customWidth="1"/>
    <col min="8691" max="8691" width="4.5703125" style="53" customWidth="1"/>
    <col min="8692" max="8692" width="14.140625" style="53" customWidth="1"/>
    <col min="8693" max="8693" width="27.140625" style="53" customWidth="1"/>
    <col min="8694" max="8694" width="16.28515625" style="53" customWidth="1"/>
    <col min="8695" max="8695" width="13.85546875" style="53" customWidth="1"/>
    <col min="8696" max="8938" width="9.140625" style="53"/>
    <col min="8939" max="8939" width="1.7109375" style="53" customWidth="1"/>
    <col min="8940" max="8941" width="4.7109375" style="53" customWidth="1"/>
    <col min="8942" max="8942" width="54.140625" style="53" customWidth="1"/>
    <col min="8943" max="8943" width="52" style="53" customWidth="1"/>
    <col min="8944" max="8944" width="5.28515625" style="53" customWidth="1"/>
    <col min="8945" max="8945" width="5.85546875" style="53" bestFit="1" customWidth="1"/>
    <col min="8946" max="8946" width="16.42578125" style="53" customWidth="1"/>
    <col min="8947" max="8947" width="4.5703125" style="53" customWidth="1"/>
    <col min="8948" max="8948" width="14.140625" style="53" customWidth="1"/>
    <col min="8949" max="8949" width="27.140625" style="53" customWidth="1"/>
    <col min="8950" max="8950" width="16.28515625" style="53" customWidth="1"/>
    <col min="8951" max="8951" width="13.85546875" style="53" customWidth="1"/>
    <col min="8952" max="9194" width="9.140625" style="53"/>
    <col min="9195" max="9195" width="1.7109375" style="53" customWidth="1"/>
    <col min="9196" max="9197" width="4.7109375" style="53" customWidth="1"/>
    <col min="9198" max="9198" width="54.140625" style="53" customWidth="1"/>
    <col min="9199" max="9199" width="52" style="53" customWidth="1"/>
    <col min="9200" max="9200" width="5.28515625" style="53" customWidth="1"/>
    <col min="9201" max="9201" width="5.85546875" style="53" bestFit="1" customWidth="1"/>
    <col min="9202" max="9202" width="16.42578125" style="53" customWidth="1"/>
    <col min="9203" max="9203" width="4.5703125" style="53" customWidth="1"/>
    <col min="9204" max="9204" width="14.140625" style="53" customWidth="1"/>
    <col min="9205" max="9205" width="27.140625" style="53" customWidth="1"/>
    <col min="9206" max="9206" width="16.28515625" style="53" customWidth="1"/>
    <col min="9207" max="9207" width="13.85546875" style="53" customWidth="1"/>
    <col min="9208" max="9450" width="9.140625" style="53"/>
    <col min="9451" max="9451" width="1.7109375" style="53" customWidth="1"/>
    <col min="9452" max="9453" width="4.7109375" style="53" customWidth="1"/>
    <col min="9454" max="9454" width="54.140625" style="53" customWidth="1"/>
    <col min="9455" max="9455" width="52" style="53" customWidth="1"/>
    <col min="9456" max="9456" width="5.28515625" style="53" customWidth="1"/>
    <col min="9457" max="9457" width="5.85546875" style="53" bestFit="1" customWidth="1"/>
    <col min="9458" max="9458" width="16.42578125" style="53" customWidth="1"/>
    <col min="9459" max="9459" width="4.5703125" style="53" customWidth="1"/>
    <col min="9460" max="9460" width="14.140625" style="53" customWidth="1"/>
    <col min="9461" max="9461" width="27.140625" style="53" customWidth="1"/>
    <col min="9462" max="9462" width="16.28515625" style="53" customWidth="1"/>
    <col min="9463" max="9463" width="13.85546875" style="53" customWidth="1"/>
    <col min="9464" max="9706" width="9.140625" style="53"/>
    <col min="9707" max="9707" width="1.7109375" style="53" customWidth="1"/>
    <col min="9708" max="9709" width="4.7109375" style="53" customWidth="1"/>
    <col min="9710" max="9710" width="54.140625" style="53" customWidth="1"/>
    <col min="9711" max="9711" width="52" style="53" customWidth="1"/>
    <col min="9712" max="9712" width="5.28515625" style="53" customWidth="1"/>
    <col min="9713" max="9713" width="5.85546875" style="53" bestFit="1" customWidth="1"/>
    <col min="9714" max="9714" width="16.42578125" style="53" customWidth="1"/>
    <col min="9715" max="9715" width="4.5703125" style="53" customWidth="1"/>
    <col min="9716" max="9716" width="14.140625" style="53" customWidth="1"/>
    <col min="9717" max="9717" width="27.140625" style="53" customWidth="1"/>
    <col min="9718" max="9718" width="16.28515625" style="53" customWidth="1"/>
    <col min="9719" max="9719" width="13.85546875" style="53" customWidth="1"/>
    <col min="9720" max="9962" width="9.140625" style="53"/>
    <col min="9963" max="9963" width="1.7109375" style="53" customWidth="1"/>
    <col min="9964" max="9965" width="4.7109375" style="53" customWidth="1"/>
    <col min="9966" max="9966" width="54.140625" style="53" customWidth="1"/>
    <col min="9967" max="9967" width="52" style="53" customWidth="1"/>
    <col min="9968" max="9968" width="5.28515625" style="53" customWidth="1"/>
    <col min="9969" max="9969" width="5.85546875" style="53" bestFit="1" customWidth="1"/>
    <col min="9970" max="9970" width="16.42578125" style="53" customWidth="1"/>
    <col min="9971" max="9971" width="4.5703125" style="53" customWidth="1"/>
    <col min="9972" max="9972" width="14.140625" style="53" customWidth="1"/>
    <col min="9973" max="9973" width="27.140625" style="53" customWidth="1"/>
    <col min="9974" max="9974" width="16.28515625" style="53" customWidth="1"/>
    <col min="9975" max="9975" width="13.85546875" style="53" customWidth="1"/>
    <col min="9976" max="10218" width="9.140625" style="53"/>
    <col min="10219" max="10219" width="1.7109375" style="53" customWidth="1"/>
    <col min="10220" max="10221" width="4.7109375" style="53" customWidth="1"/>
    <col min="10222" max="10222" width="54.140625" style="53" customWidth="1"/>
    <col min="10223" max="10223" width="52" style="53" customWidth="1"/>
    <col min="10224" max="10224" width="5.28515625" style="53" customWidth="1"/>
    <col min="10225" max="10225" width="5.85546875" style="53" bestFit="1" customWidth="1"/>
    <col min="10226" max="10226" width="16.42578125" style="53" customWidth="1"/>
    <col min="10227" max="10227" width="4.5703125" style="53" customWidth="1"/>
    <col min="10228" max="10228" width="14.140625" style="53" customWidth="1"/>
    <col min="10229" max="10229" width="27.140625" style="53" customWidth="1"/>
    <col min="10230" max="10230" width="16.28515625" style="53" customWidth="1"/>
    <col min="10231" max="10231" width="13.85546875" style="53" customWidth="1"/>
    <col min="10232" max="10474" width="9.140625" style="53"/>
    <col min="10475" max="10475" width="1.7109375" style="53" customWidth="1"/>
    <col min="10476" max="10477" width="4.7109375" style="53" customWidth="1"/>
    <col min="10478" max="10478" width="54.140625" style="53" customWidth="1"/>
    <col min="10479" max="10479" width="52" style="53" customWidth="1"/>
    <col min="10480" max="10480" width="5.28515625" style="53" customWidth="1"/>
    <col min="10481" max="10481" width="5.85546875" style="53" bestFit="1" customWidth="1"/>
    <col min="10482" max="10482" width="16.42578125" style="53" customWidth="1"/>
    <col min="10483" max="10483" width="4.5703125" style="53" customWidth="1"/>
    <col min="10484" max="10484" width="14.140625" style="53" customWidth="1"/>
    <col min="10485" max="10485" width="27.140625" style="53" customWidth="1"/>
    <col min="10486" max="10486" width="16.28515625" style="53" customWidth="1"/>
    <col min="10487" max="10487" width="13.85546875" style="53" customWidth="1"/>
    <col min="10488" max="10730" width="9.140625" style="53"/>
    <col min="10731" max="10731" width="1.7109375" style="53" customWidth="1"/>
    <col min="10732" max="10733" width="4.7109375" style="53" customWidth="1"/>
    <col min="10734" max="10734" width="54.140625" style="53" customWidth="1"/>
    <col min="10735" max="10735" width="52" style="53" customWidth="1"/>
    <col min="10736" max="10736" width="5.28515625" style="53" customWidth="1"/>
    <col min="10737" max="10737" width="5.85546875" style="53" bestFit="1" customWidth="1"/>
    <col min="10738" max="10738" width="16.42578125" style="53" customWidth="1"/>
    <col min="10739" max="10739" width="4.5703125" style="53" customWidth="1"/>
    <col min="10740" max="10740" width="14.140625" style="53" customWidth="1"/>
    <col min="10741" max="10741" width="27.140625" style="53" customWidth="1"/>
    <col min="10742" max="10742" width="16.28515625" style="53" customWidth="1"/>
    <col min="10743" max="10743" width="13.85546875" style="53" customWidth="1"/>
    <col min="10744" max="10986" width="9.140625" style="53"/>
    <col min="10987" max="10987" width="1.7109375" style="53" customWidth="1"/>
    <col min="10988" max="10989" width="4.7109375" style="53" customWidth="1"/>
    <col min="10990" max="10990" width="54.140625" style="53" customWidth="1"/>
    <col min="10991" max="10991" width="52" style="53" customWidth="1"/>
    <col min="10992" max="10992" width="5.28515625" style="53" customWidth="1"/>
    <col min="10993" max="10993" width="5.85546875" style="53" bestFit="1" customWidth="1"/>
    <col min="10994" max="10994" width="16.42578125" style="53" customWidth="1"/>
    <col min="10995" max="10995" width="4.5703125" style="53" customWidth="1"/>
    <col min="10996" max="10996" width="14.140625" style="53" customWidth="1"/>
    <col min="10997" max="10997" width="27.140625" style="53" customWidth="1"/>
    <col min="10998" max="10998" width="16.28515625" style="53" customWidth="1"/>
    <col min="10999" max="10999" width="13.85546875" style="53" customWidth="1"/>
    <col min="11000" max="11242" width="9.140625" style="53"/>
    <col min="11243" max="11243" width="1.7109375" style="53" customWidth="1"/>
    <col min="11244" max="11245" width="4.7109375" style="53" customWidth="1"/>
    <col min="11246" max="11246" width="54.140625" style="53" customWidth="1"/>
    <col min="11247" max="11247" width="52" style="53" customWidth="1"/>
    <col min="11248" max="11248" width="5.28515625" style="53" customWidth="1"/>
    <col min="11249" max="11249" width="5.85546875" style="53" bestFit="1" customWidth="1"/>
    <col min="11250" max="11250" width="16.42578125" style="53" customWidth="1"/>
    <col min="11251" max="11251" width="4.5703125" style="53" customWidth="1"/>
    <col min="11252" max="11252" width="14.140625" style="53" customWidth="1"/>
    <col min="11253" max="11253" width="27.140625" style="53" customWidth="1"/>
    <col min="11254" max="11254" width="16.28515625" style="53" customWidth="1"/>
    <col min="11255" max="11255" width="13.85546875" style="53" customWidth="1"/>
    <col min="11256" max="11498" width="9.140625" style="53"/>
    <col min="11499" max="11499" width="1.7109375" style="53" customWidth="1"/>
    <col min="11500" max="11501" width="4.7109375" style="53" customWidth="1"/>
    <col min="11502" max="11502" width="54.140625" style="53" customWidth="1"/>
    <col min="11503" max="11503" width="52" style="53" customWidth="1"/>
    <col min="11504" max="11504" width="5.28515625" style="53" customWidth="1"/>
    <col min="11505" max="11505" width="5.85546875" style="53" bestFit="1" customWidth="1"/>
    <col min="11506" max="11506" width="16.42578125" style="53" customWidth="1"/>
    <col min="11507" max="11507" width="4.5703125" style="53" customWidth="1"/>
    <col min="11508" max="11508" width="14.140625" style="53" customWidth="1"/>
    <col min="11509" max="11509" width="27.140625" style="53" customWidth="1"/>
    <col min="11510" max="11510" width="16.28515625" style="53" customWidth="1"/>
    <col min="11511" max="11511" width="13.85546875" style="53" customWidth="1"/>
    <col min="11512" max="11754" width="9.140625" style="53"/>
    <col min="11755" max="11755" width="1.7109375" style="53" customWidth="1"/>
    <col min="11756" max="11757" width="4.7109375" style="53" customWidth="1"/>
    <col min="11758" max="11758" width="54.140625" style="53" customWidth="1"/>
    <col min="11759" max="11759" width="52" style="53" customWidth="1"/>
    <col min="11760" max="11760" width="5.28515625" style="53" customWidth="1"/>
    <col min="11761" max="11761" width="5.85546875" style="53" bestFit="1" customWidth="1"/>
    <col min="11762" max="11762" width="16.42578125" style="53" customWidth="1"/>
    <col min="11763" max="11763" width="4.5703125" style="53" customWidth="1"/>
    <col min="11764" max="11764" width="14.140625" style="53" customWidth="1"/>
    <col min="11765" max="11765" width="27.140625" style="53" customWidth="1"/>
    <col min="11766" max="11766" width="16.28515625" style="53" customWidth="1"/>
    <col min="11767" max="11767" width="13.85546875" style="53" customWidth="1"/>
    <col min="11768" max="12010" width="9.140625" style="53"/>
    <col min="12011" max="12011" width="1.7109375" style="53" customWidth="1"/>
    <col min="12012" max="12013" width="4.7109375" style="53" customWidth="1"/>
    <col min="12014" max="12014" width="54.140625" style="53" customWidth="1"/>
    <col min="12015" max="12015" width="52" style="53" customWidth="1"/>
    <col min="12016" max="12016" width="5.28515625" style="53" customWidth="1"/>
    <col min="12017" max="12017" width="5.85546875" style="53" bestFit="1" customWidth="1"/>
    <col min="12018" max="12018" width="16.42578125" style="53" customWidth="1"/>
    <col min="12019" max="12019" width="4.5703125" style="53" customWidth="1"/>
    <col min="12020" max="12020" width="14.140625" style="53" customWidth="1"/>
    <col min="12021" max="12021" width="27.140625" style="53" customWidth="1"/>
    <col min="12022" max="12022" width="16.28515625" style="53" customWidth="1"/>
    <col min="12023" max="12023" width="13.85546875" style="53" customWidth="1"/>
    <col min="12024" max="12266" width="9.140625" style="53"/>
    <col min="12267" max="12267" width="1.7109375" style="53" customWidth="1"/>
    <col min="12268" max="12269" width="4.7109375" style="53" customWidth="1"/>
    <col min="12270" max="12270" width="54.140625" style="53" customWidth="1"/>
    <col min="12271" max="12271" width="52" style="53" customWidth="1"/>
    <col min="12272" max="12272" width="5.28515625" style="53" customWidth="1"/>
    <col min="12273" max="12273" width="5.85546875" style="53" bestFit="1" customWidth="1"/>
    <col min="12274" max="12274" width="16.42578125" style="53" customWidth="1"/>
    <col min="12275" max="12275" width="4.5703125" style="53" customWidth="1"/>
    <col min="12276" max="12276" width="14.140625" style="53" customWidth="1"/>
    <col min="12277" max="12277" width="27.140625" style="53" customWidth="1"/>
    <col min="12278" max="12278" width="16.28515625" style="53" customWidth="1"/>
    <col min="12279" max="12279" width="13.85546875" style="53" customWidth="1"/>
    <col min="12280" max="12522" width="9.140625" style="53"/>
    <col min="12523" max="12523" width="1.7109375" style="53" customWidth="1"/>
    <col min="12524" max="12525" width="4.7109375" style="53" customWidth="1"/>
    <col min="12526" max="12526" width="54.140625" style="53" customWidth="1"/>
    <col min="12527" max="12527" width="52" style="53" customWidth="1"/>
    <col min="12528" max="12528" width="5.28515625" style="53" customWidth="1"/>
    <col min="12529" max="12529" width="5.85546875" style="53" bestFit="1" customWidth="1"/>
    <col min="12530" max="12530" width="16.42578125" style="53" customWidth="1"/>
    <col min="12531" max="12531" width="4.5703125" style="53" customWidth="1"/>
    <col min="12532" max="12532" width="14.140625" style="53" customWidth="1"/>
    <col min="12533" max="12533" width="27.140625" style="53" customWidth="1"/>
    <col min="12534" max="12534" width="16.28515625" style="53" customWidth="1"/>
    <col min="12535" max="12535" width="13.85546875" style="53" customWidth="1"/>
    <col min="12536" max="12778" width="9.140625" style="53"/>
    <col min="12779" max="12779" width="1.7109375" style="53" customWidth="1"/>
    <col min="12780" max="12781" width="4.7109375" style="53" customWidth="1"/>
    <col min="12782" max="12782" width="54.140625" style="53" customWidth="1"/>
    <col min="12783" max="12783" width="52" style="53" customWidth="1"/>
    <col min="12784" max="12784" width="5.28515625" style="53" customWidth="1"/>
    <col min="12785" max="12785" width="5.85546875" style="53" bestFit="1" customWidth="1"/>
    <col min="12786" max="12786" width="16.42578125" style="53" customWidth="1"/>
    <col min="12787" max="12787" width="4.5703125" style="53" customWidth="1"/>
    <col min="12788" max="12788" width="14.140625" style="53" customWidth="1"/>
    <col min="12789" max="12789" width="27.140625" style="53" customWidth="1"/>
    <col min="12790" max="12790" width="16.28515625" style="53" customWidth="1"/>
    <col min="12791" max="12791" width="13.85546875" style="53" customWidth="1"/>
    <col min="12792" max="13034" width="9.140625" style="53"/>
    <col min="13035" max="13035" width="1.7109375" style="53" customWidth="1"/>
    <col min="13036" max="13037" width="4.7109375" style="53" customWidth="1"/>
    <col min="13038" max="13038" width="54.140625" style="53" customWidth="1"/>
    <col min="13039" max="13039" width="52" style="53" customWidth="1"/>
    <col min="13040" max="13040" width="5.28515625" style="53" customWidth="1"/>
    <col min="13041" max="13041" width="5.85546875" style="53" bestFit="1" customWidth="1"/>
    <col min="13042" max="13042" width="16.42578125" style="53" customWidth="1"/>
    <col min="13043" max="13043" width="4.5703125" style="53" customWidth="1"/>
    <col min="13044" max="13044" width="14.140625" style="53" customWidth="1"/>
    <col min="13045" max="13045" width="27.140625" style="53" customWidth="1"/>
    <col min="13046" max="13046" width="16.28515625" style="53" customWidth="1"/>
    <col min="13047" max="13047" width="13.85546875" style="53" customWidth="1"/>
    <col min="13048" max="13290" width="9.140625" style="53"/>
    <col min="13291" max="13291" width="1.7109375" style="53" customWidth="1"/>
    <col min="13292" max="13293" width="4.7109375" style="53" customWidth="1"/>
    <col min="13294" max="13294" width="54.140625" style="53" customWidth="1"/>
    <col min="13295" max="13295" width="52" style="53" customWidth="1"/>
    <col min="13296" max="13296" width="5.28515625" style="53" customWidth="1"/>
    <col min="13297" max="13297" width="5.85546875" style="53" bestFit="1" customWidth="1"/>
    <col min="13298" max="13298" width="16.42578125" style="53" customWidth="1"/>
    <col min="13299" max="13299" width="4.5703125" style="53" customWidth="1"/>
    <col min="13300" max="13300" width="14.140625" style="53" customWidth="1"/>
    <col min="13301" max="13301" width="27.140625" style="53" customWidth="1"/>
    <col min="13302" max="13302" width="16.28515625" style="53" customWidth="1"/>
    <col min="13303" max="13303" width="13.85546875" style="53" customWidth="1"/>
    <col min="13304" max="13546" width="9.140625" style="53"/>
    <col min="13547" max="13547" width="1.7109375" style="53" customWidth="1"/>
    <col min="13548" max="13549" width="4.7109375" style="53" customWidth="1"/>
    <col min="13550" max="13550" width="54.140625" style="53" customWidth="1"/>
    <col min="13551" max="13551" width="52" style="53" customWidth="1"/>
    <col min="13552" max="13552" width="5.28515625" style="53" customWidth="1"/>
    <col min="13553" max="13553" width="5.85546875" style="53" bestFit="1" customWidth="1"/>
    <col min="13554" max="13554" width="16.42578125" style="53" customWidth="1"/>
    <col min="13555" max="13555" width="4.5703125" style="53" customWidth="1"/>
    <col min="13556" max="13556" width="14.140625" style="53" customWidth="1"/>
    <col min="13557" max="13557" width="27.140625" style="53" customWidth="1"/>
    <col min="13558" max="13558" width="16.28515625" style="53" customWidth="1"/>
    <col min="13559" max="13559" width="13.85546875" style="53" customWidth="1"/>
    <col min="13560" max="13802" width="9.140625" style="53"/>
    <col min="13803" max="13803" width="1.7109375" style="53" customWidth="1"/>
    <col min="13804" max="13805" width="4.7109375" style="53" customWidth="1"/>
    <col min="13806" max="13806" width="54.140625" style="53" customWidth="1"/>
    <col min="13807" max="13807" width="52" style="53" customWidth="1"/>
    <col min="13808" max="13808" width="5.28515625" style="53" customWidth="1"/>
    <col min="13809" max="13809" width="5.85546875" style="53" bestFit="1" customWidth="1"/>
    <col min="13810" max="13810" width="16.42578125" style="53" customWidth="1"/>
    <col min="13811" max="13811" width="4.5703125" style="53" customWidth="1"/>
    <col min="13812" max="13812" width="14.140625" style="53" customWidth="1"/>
    <col min="13813" max="13813" width="27.140625" style="53" customWidth="1"/>
    <col min="13814" max="13814" width="16.28515625" style="53" customWidth="1"/>
    <col min="13815" max="13815" width="13.85546875" style="53" customWidth="1"/>
    <col min="13816" max="14058" width="9.140625" style="53"/>
    <col min="14059" max="14059" width="1.7109375" style="53" customWidth="1"/>
    <col min="14060" max="14061" width="4.7109375" style="53" customWidth="1"/>
    <col min="14062" max="14062" width="54.140625" style="53" customWidth="1"/>
    <col min="14063" max="14063" width="52" style="53" customWidth="1"/>
    <col min="14064" max="14064" width="5.28515625" style="53" customWidth="1"/>
    <col min="14065" max="14065" width="5.85546875" style="53" bestFit="1" customWidth="1"/>
    <col min="14066" max="14066" width="16.42578125" style="53" customWidth="1"/>
    <col min="14067" max="14067" width="4.5703125" style="53" customWidth="1"/>
    <col min="14068" max="14068" width="14.140625" style="53" customWidth="1"/>
    <col min="14069" max="14069" width="27.140625" style="53" customWidth="1"/>
    <col min="14070" max="14070" width="16.28515625" style="53" customWidth="1"/>
    <col min="14071" max="14071" width="13.85546875" style="53" customWidth="1"/>
    <col min="14072" max="14314" width="9.140625" style="53"/>
    <col min="14315" max="14315" width="1.7109375" style="53" customWidth="1"/>
    <col min="14316" max="14317" width="4.7109375" style="53" customWidth="1"/>
    <col min="14318" max="14318" width="54.140625" style="53" customWidth="1"/>
    <col min="14319" max="14319" width="52" style="53" customWidth="1"/>
    <col min="14320" max="14320" width="5.28515625" style="53" customWidth="1"/>
    <col min="14321" max="14321" width="5.85546875" style="53" bestFit="1" customWidth="1"/>
    <col min="14322" max="14322" width="16.42578125" style="53" customWidth="1"/>
    <col min="14323" max="14323" width="4.5703125" style="53" customWidth="1"/>
    <col min="14324" max="14324" width="14.140625" style="53" customWidth="1"/>
    <col min="14325" max="14325" width="27.140625" style="53" customWidth="1"/>
    <col min="14326" max="14326" width="16.28515625" style="53" customWidth="1"/>
    <col min="14327" max="14327" width="13.85546875" style="53" customWidth="1"/>
    <col min="14328" max="14570" width="9.140625" style="53"/>
    <col min="14571" max="14571" width="1.7109375" style="53" customWidth="1"/>
    <col min="14572" max="14573" width="4.7109375" style="53" customWidth="1"/>
    <col min="14574" max="14574" width="54.140625" style="53" customWidth="1"/>
    <col min="14575" max="14575" width="52" style="53" customWidth="1"/>
    <col min="14576" max="14576" width="5.28515625" style="53" customWidth="1"/>
    <col min="14577" max="14577" width="5.85546875" style="53" bestFit="1" customWidth="1"/>
    <col min="14578" max="14578" width="16.42578125" style="53" customWidth="1"/>
    <col min="14579" max="14579" width="4.5703125" style="53" customWidth="1"/>
    <col min="14580" max="14580" width="14.140625" style="53" customWidth="1"/>
    <col min="14581" max="14581" width="27.140625" style="53" customWidth="1"/>
    <col min="14582" max="14582" width="16.28515625" style="53" customWidth="1"/>
    <col min="14583" max="14583" width="13.85546875" style="53" customWidth="1"/>
    <col min="14584" max="14826" width="9.140625" style="53"/>
    <col min="14827" max="14827" width="1.7109375" style="53" customWidth="1"/>
    <col min="14828" max="14829" width="4.7109375" style="53" customWidth="1"/>
    <col min="14830" max="14830" width="54.140625" style="53" customWidth="1"/>
    <col min="14831" max="14831" width="52" style="53" customWidth="1"/>
    <col min="14832" max="14832" width="5.28515625" style="53" customWidth="1"/>
    <col min="14833" max="14833" width="5.85546875" style="53" bestFit="1" customWidth="1"/>
    <col min="14834" max="14834" width="16.42578125" style="53" customWidth="1"/>
    <col min="14835" max="14835" width="4.5703125" style="53" customWidth="1"/>
    <col min="14836" max="14836" width="14.140625" style="53" customWidth="1"/>
    <col min="14837" max="14837" width="27.140625" style="53" customWidth="1"/>
    <col min="14838" max="14838" width="16.28515625" style="53" customWidth="1"/>
    <col min="14839" max="14839" width="13.85546875" style="53" customWidth="1"/>
    <col min="14840" max="15082" width="9.140625" style="53"/>
    <col min="15083" max="15083" width="1.7109375" style="53" customWidth="1"/>
    <col min="15084" max="15085" width="4.7109375" style="53" customWidth="1"/>
    <col min="15086" max="15086" width="54.140625" style="53" customWidth="1"/>
    <col min="15087" max="15087" width="52" style="53" customWidth="1"/>
    <col min="15088" max="15088" width="5.28515625" style="53" customWidth="1"/>
    <col min="15089" max="15089" width="5.85546875" style="53" bestFit="1" customWidth="1"/>
    <col min="15090" max="15090" width="16.42578125" style="53" customWidth="1"/>
    <col min="15091" max="15091" width="4.5703125" style="53" customWidth="1"/>
    <col min="15092" max="15092" width="14.140625" style="53" customWidth="1"/>
    <col min="15093" max="15093" width="27.140625" style="53" customWidth="1"/>
    <col min="15094" max="15094" width="16.28515625" style="53" customWidth="1"/>
    <col min="15095" max="15095" width="13.85546875" style="53" customWidth="1"/>
    <col min="15096" max="15338" width="9.140625" style="53"/>
    <col min="15339" max="15339" width="1.7109375" style="53" customWidth="1"/>
    <col min="15340" max="15341" width="4.7109375" style="53" customWidth="1"/>
    <col min="15342" max="15342" width="54.140625" style="53" customWidth="1"/>
    <col min="15343" max="15343" width="52" style="53" customWidth="1"/>
    <col min="15344" max="15344" width="5.28515625" style="53" customWidth="1"/>
    <col min="15345" max="15345" width="5.85546875" style="53" bestFit="1" customWidth="1"/>
    <col min="15346" max="15346" width="16.42578125" style="53" customWidth="1"/>
    <col min="15347" max="15347" width="4.5703125" style="53" customWidth="1"/>
    <col min="15348" max="15348" width="14.140625" style="53" customWidth="1"/>
    <col min="15349" max="15349" width="27.140625" style="53" customWidth="1"/>
    <col min="15350" max="15350" width="16.28515625" style="53" customWidth="1"/>
    <col min="15351" max="15351" width="13.85546875" style="53" customWidth="1"/>
    <col min="15352" max="15594" width="9.140625" style="53"/>
    <col min="15595" max="15595" width="1.7109375" style="53" customWidth="1"/>
    <col min="15596" max="15597" width="4.7109375" style="53" customWidth="1"/>
    <col min="15598" max="15598" width="54.140625" style="53" customWidth="1"/>
    <col min="15599" max="15599" width="52" style="53" customWidth="1"/>
    <col min="15600" max="15600" width="5.28515625" style="53" customWidth="1"/>
    <col min="15601" max="15601" width="5.85546875" style="53" bestFit="1" customWidth="1"/>
    <col min="15602" max="15602" width="16.42578125" style="53" customWidth="1"/>
    <col min="15603" max="15603" width="4.5703125" style="53" customWidth="1"/>
    <col min="15604" max="15604" width="14.140625" style="53" customWidth="1"/>
    <col min="15605" max="15605" width="27.140625" style="53" customWidth="1"/>
    <col min="15606" max="15606" width="16.28515625" style="53" customWidth="1"/>
    <col min="15607" max="15607" width="13.85546875" style="53" customWidth="1"/>
    <col min="15608" max="15850" width="9.140625" style="53"/>
    <col min="15851" max="15851" width="1.7109375" style="53" customWidth="1"/>
    <col min="15852" max="15853" width="4.7109375" style="53" customWidth="1"/>
    <col min="15854" max="15854" width="54.140625" style="53" customWidth="1"/>
    <col min="15855" max="15855" width="52" style="53" customWidth="1"/>
    <col min="15856" max="15856" width="5.28515625" style="53" customWidth="1"/>
    <col min="15857" max="15857" width="5.85546875" style="53" bestFit="1" customWidth="1"/>
    <col min="15858" max="15858" width="16.42578125" style="53" customWidth="1"/>
    <col min="15859" max="15859" width="4.5703125" style="53" customWidth="1"/>
    <col min="15860" max="15860" width="14.140625" style="53" customWidth="1"/>
    <col min="15861" max="15861" width="27.140625" style="53" customWidth="1"/>
    <col min="15862" max="15862" width="16.28515625" style="53" customWidth="1"/>
    <col min="15863" max="15863" width="13.85546875" style="53" customWidth="1"/>
    <col min="15864" max="16106" width="9.140625" style="53"/>
    <col min="16107" max="16107" width="1.7109375" style="53" customWidth="1"/>
    <col min="16108" max="16109" width="4.7109375" style="53" customWidth="1"/>
    <col min="16110" max="16110" width="54.140625" style="53" customWidth="1"/>
    <col min="16111" max="16111" width="52" style="53" customWidth="1"/>
    <col min="16112" max="16112" width="5.28515625" style="53" customWidth="1"/>
    <col min="16113" max="16113" width="5.85546875" style="53" bestFit="1" customWidth="1"/>
    <col min="16114" max="16114" width="16.42578125" style="53" customWidth="1"/>
    <col min="16115" max="16115" width="4.5703125" style="53" customWidth="1"/>
    <col min="16116" max="16116" width="14.140625" style="53" customWidth="1"/>
    <col min="16117" max="16117" width="27.140625" style="53" customWidth="1"/>
    <col min="16118" max="16118" width="16.28515625" style="53" customWidth="1"/>
    <col min="16119" max="16119" width="13.85546875" style="53" customWidth="1"/>
    <col min="16120" max="16384" width="9.140625" style="53"/>
  </cols>
  <sheetData>
    <row r="2" spans="2:19" s="5" customFormat="1" ht="15.75" hidden="1" x14ac:dyDescent="0.25">
      <c r="B2" s="975"/>
      <c r="C2" s="1645" t="s">
        <v>431</v>
      </c>
      <c r="D2" s="1645"/>
      <c r="E2" s="1645"/>
      <c r="F2" s="1645"/>
      <c r="G2" s="1645"/>
      <c r="H2" s="1645"/>
      <c r="I2" s="1645"/>
      <c r="J2" s="1645"/>
      <c r="K2" s="1645"/>
      <c r="L2" s="971"/>
      <c r="M2" s="971"/>
      <c r="N2" s="451"/>
      <c r="O2" s="451"/>
      <c r="P2" s="3"/>
    </row>
    <row r="3" spans="2:19" s="5" customFormat="1" ht="13.5" customHeight="1" x14ac:dyDescent="0.25">
      <c r="B3" s="975"/>
      <c r="C3" s="1646" t="s">
        <v>0</v>
      </c>
      <c r="D3" s="1646"/>
      <c r="E3" s="1646"/>
      <c r="F3" s="1646"/>
      <c r="G3" s="1646"/>
      <c r="H3" s="1646"/>
      <c r="I3" s="1646"/>
      <c r="J3" s="1646"/>
      <c r="K3" s="1646"/>
      <c r="L3" s="1646"/>
      <c r="M3" s="1646"/>
      <c r="N3" s="1646"/>
      <c r="O3" s="972"/>
      <c r="P3" s="481"/>
    </row>
    <row r="4" spans="2:19" s="4" customFormat="1" ht="14.25" customHeight="1" x14ac:dyDescent="0.25">
      <c r="B4" s="975"/>
      <c r="C4" s="1646" t="s">
        <v>1</v>
      </c>
      <c r="D4" s="1646"/>
      <c r="E4" s="1646"/>
      <c r="F4" s="1646"/>
      <c r="G4" s="1646"/>
      <c r="H4" s="1646"/>
      <c r="I4" s="1646"/>
      <c r="J4" s="1646"/>
      <c r="K4" s="1646"/>
      <c r="L4" s="1646"/>
      <c r="M4" s="1646"/>
      <c r="N4" s="1646"/>
      <c r="O4" s="972"/>
      <c r="P4" s="481"/>
    </row>
    <row r="5" spans="2:19" s="4" customFormat="1" ht="15.75" x14ac:dyDescent="0.25">
      <c r="B5" s="975"/>
      <c r="C5" s="452"/>
      <c r="D5" s="453"/>
      <c r="E5" s="453"/>
      <c r="F5" s="453"/>
      <c r="G5" s="454"/>
      <c r="H5" s="455"/>
      <c r="I5" s="456"/>
      <c r="J5" s="457"/>
      <c r="K5" s="457"/>
      <c r="L5" s="457"/>
      <c r="M5" s="457"/>
      <c r="N5" s="458"/>
      <c r="O5" s="456"/>
      <c r="P5" s="976"/>
    </row>
    <row r="6" spans="2:19" s="4" customFormat="1" ht="18" customHeight="1" x14ac:dyDescent="0.25">
      <c r="B6" s="975"/>
      <c r="C6" s="1647" t="s">
        <v>2</v>
      </c>
      <c r="D6" s="1647"/>
      <c r="E6" s="1505" t="s">
        <v>3</v>
      </c>
      <c r="F6" s="1505"/>
      <c r="G6" s="1505"/>
      <c r="H6" s="459"/>
      <c r="I6" s="456"/>
      <c r="J6" s="457"/>
      <c r="K6" s="457"/>
      <c r="L6" s="457"/>
      <c r="M6" s="457"/>
      <c r="N6" s="458"/>
      <c r="O6" s="456"/>
      <c r="P6" s="976"/>
    </row>
    <row r="7" spans="2:19" s="4" customFormat="1" ht="8.25" customHeight="1" thickBot="1" x14ac:dyDescent="0.3">
      <c r="B7" s="975"/>
      <c r="C7" s="6"/>
      <c r="D7" s="8"/>
      <c r="E7" s="8"/>
      <c r="F7" s="8"/>
      <c r="G7" s="9"/>
      <c r="H7" s="10"/>
      <c r="I7" s="11"/>
      <c r="J7" s="12"/>
      <c r="K7" s="12"/>
      <c r="L7" s="12"/>
      <c r="M7" s="12"/>
      <c r="N7" s="7"/>
      <c r="O7" s="11"/>
      <c r="P7" s="976"/>
    </row>
    <row r="8" spans="2:19" s="15" customFormat="1" ht="32.25" customHeight="1" thickTop="1" x14ac:dyDescent="0.25">
      <c r="B8" s="13"/>
      <c r="C8" s="1648" t="s">
        <v>433</v>
      </c>
      <c r="D8" s="1649"/>
      <c r="E8" s="1650"/>
      <c r="F8" s="1654" t="s">
        <v>418</v>
      </c>
      <c r="G8" s="1650"/>
      <c r="H8" s="1656" t="s">
        <v>417</v>
      </c>
      <c r="I8" s="1658" t="s">
        <v>419</v>
      </c>
      <c r="J8" s="1662" t="s">
        <v>502</v>
      </c>
      <c r="K8" s="1660" t="s">
        <v>488</v>
      </c>
      <c r="L8" s="973" t="s">
        <v>509</v>
      </c>
      <c r="M8" s="987"/>
      <c r="N8" s="14"/>
      <c r="O8" s="1643" t="s">
        <v>469</v>
      </c>
      <c r="P8" s="441" t="s">
        <v>426</v>
      </c>
      <c r="Q8" s="16"/>
    </row>
    <row r="9" spans="2:19" s="15" customFormat="1" x14ac:dyDescent="0.25">
      <c r="B9" s="13"/>
      <c r="C9" s="1651"/>
      <c r="D9" s="1652"/>
      <c r="E9" s="1653"/>
      <c r="F9" s="1655"/>
      <c r="G9" s="1653"/>
      <c r="H9" s="1657"/>
      <c r="I9" s="1659"/>
      <c r="J9" s="1663"/>
      <c r="K9" s="1661"/>
      <c r="L9" s="974"/>
      <c r="M9" s="987"/>
      <c r="N9" s="14"/>
      <c r="O9" s="1644"/>
      <c r="P9" s="14"/>
      <c r="S9" s="17"/>
    </row>
    <row r="10" spans="2:19" s="15" customFormat="1" ht="19.5" customHeight="1" x14ac:dyDescent="0.25">
      <c r="B10" s="13"/>
      <c r="C10" s="1632">
        <v>1</v>
      </c>
      <c r="D10" s="1633"/>
      <c r="E10" s="1634"/>
      <c r="F10" s="1635">
        <v>2</v>
      </c>
      <c r="G10" s="1636"/>
      <c r="H10" s="18">
        <v>3</v>
      </c>
      <c r="I10" s="18">
        <v>4</v>
      </c>
      <c r="J10" s="607">
        <v>5</v>
      </c>
      <c r="K10" s="859">
        <v>5</v>
      </c>
      <c r="L10" s="988"/>
      <c r="M10" s="988"/>
      <c r="N10" s="20"/>
      <c r="O10" s="507"/>
      <c r="P10" s="20"/>
      <c r="Q10" s="21">
        <v>307965438271</v>
      </c>
      <c r="S10" s="17"/>
    </row>
    <row r="11" spans="2:19" s="29" customFormat="1" ht="29.25" customHeight="1" x14ac:dyDescent="0.25">
      <c r="B11" s="13"/>
      <c r="C11" s="22"/>
      <c r="D11" s="1635" t="s">
        <v>4</v>
      </c>
      <c r="E11" s="1637"/>
      <c r="F11" s="1637"/>
      <c r="G11" s="1636"/>
      <c r="H11" s="23"/>
      <c r="I11" s="24"/>
      <c r="J11" s="608">
        <f>J12+J52</f>
        <v>271615438271</v>
      </c>
      <c r="K11" s="25">
        <f>K12+K52</f>
        <v>271615438271</v>
      </c>
      <c r="L11" s="989"/>
      <c r="M11" s="989"/>
      <c r="N11" s="26"/>
      <c r="O11" s="508"/>
      <c r="P11" s="485">
        <f>SUM(P12:P230)</f>
        <v>19915000000</v>
      </c>
      <c r="Q11" s="27">
        <f>Q10-K11</f>
        <v>36350000000</v>
      </c>
      <c r="R11" s="28"/>
    </row>
    <row r="12" spans="2:19" s="15" customFormat="1" ht="30" customHeight="1" x14ac:dyDescent="0.25">
      <c r="B12" s="13"/>
      <c r="C12" s="30"/>
      <c r="D12" s="1638"/>
      <c r="E12" s="1638"/>
      <c r="F12" s="1638"/>
      <c r="G12" s="1638"/>
      <c r="H12" s="1638"/>
      <c r="I12" s="1639"/>
      <c r="J12" s="609">
        <f>J13+J24+J40+J43+J46</f>
        <v>11438515300</v>
      </c>
      <c r="K12" s="31">
        <f>K13+K24+K40+K43+K46</f>
        <v>11438515300</v>
      </c>
      <c r="L12" s="990"/>
      <c r="M12" s="990"/>
      <c r="N12" s="32"/>
      <c r="O12" s="509"/>
      <c r="P12" s="486"/>
      <c r="Q12" s="33">
        <f>J11+'Pindah Perkimtan'!J11</f>
        <v>307965438271</v>
      </c>
      <c r="R12" s="17"/>
    </row>
    <row r="13" spans="2:19" s="15" customFormat="1" ht="21" customHeight="1" x14ac:dyDescent="0.25">
      <c r="B13" s="13"/>
      <c r="C13" s="34" t="s">
        <v>432</v>
      </c>
      <c r="D13" s="1640" t="s">
        <v>6</v>
      </c>
      <c r="E13" s="1641"/>
      <c r="F13" s="1641"/>
      <c r="G13" s="1642"/>
      <c r="H13" s="35" t="s">
        <v>7</v>
      </c>
      <c r="I13" s="36"/>
      <c r="J13" s="610">
        <f>J20+J15+J16+J17+J18+J21+J22+J14+J19</f>
        <v>5166573300</v>
      </c>
      <c r="K13" s="37">
        <f>K20+K15+K16+K17+K18+K21+K22+K14+K19</f>
        <v>5166573300</v>
      </c>
      <c r="L13" s="991"/>
      <c r="M13" s="991"/>
      <c r="N13" s="38"/>
      <c r="O13" s="510"/>
      <c r="P13" s="487"/>
    </row>
    <row r="14" spans="2:19" s="62" customFormat="1" ht="27.75" customHeight="1" x14ac:dyDescent="0.25">
      <c r="B14" s="59"/>
      <c r="C14" s="39"/>
      <c r="D14" s="140" t="s">
        <v>5</v>
      </c>
      <c r="E14" s="1623" t="s">
        <v>9</v>
      </c>
      <c r="F14" s="1624"/>
      <c r="G14" s="1625"/>
      <c r="H14" s="745" t="s">
        <v>497</v>
      </c>
      <c r="I14" s="746">
        <v>1</v>
      </c>
      <c r="J14" s="611">
        <v>755192500</v>
      </c>
      <c r="K14" s="43">
        <f>755192500</f>
        <v>755192500</v>
      </c>
      <c r="L14" s="44"/>
      <c r="M14" s="44"/>
      <c r="N14" s="44"/>
      <c r="O14" s="747"/>
      <c r="P14" s="488"/>
    </row>
    <row r="15" spans="2:19" s="62" customFormat="1" ht="26.25" customHeight="1" x14ac:dyDescent="0.25">
      <c r="B15" s="59"/>
      <c r="C15" s="39"/>
      <c r="D15" s="79" t="s">
        <v>10</v>
      </c>
      <c r="E15" s="1623" t="s">
        <v>11</v>
      </c>
      <c r="F15" s="1624"/>
      <c r="G15" s="1625"/>
      <c r="H15" s="837" t="s">
        <v>12</v>
      </c>
      <c r="I15" s="746">
        <v>1</v>
      </c>
      <c r="J15" s="612">
        <v>1921800000</v>
      </c>
      <c r="K15" s="47">
        <v>1921800000</v>
      </c>
      <c r="L15" s="44"/>
      <c r="M15" s="44"/>
      <c r="N15" s="44"/>
      <c r="O15" s="747"/>
      <c r="P15" s="488"/>
    </row>
    <row r="16" spans="2:19" s="62" customFormat="1" ht="26.25" customHeight="1" x14ac:dyDescent="0.25">
      <c r="B16" s="59"/>
      <c r="C16" s="39"/>
      <c r="D16" s="140" t="s">
        <v>13</v>
      </c>
      <c r="E16" s="1623" t="s">
        <v>14</v>
      </c>
      <c r="F16" s="1624"/>
      <c r="G16" s="1625"/>
      <c r="H16" s="837" t="s">
        <v>15</v>
      </c>
      <c r="I16" s="746">
        <v>1</v>
      </c>
      <c r="J16" s="612">
        <f>1968500000-21419200</f>
        <v>1947080800</v>
      </c>
      <c r="K16" s="47">
        <f>1968500000-21419200</f>
        <v>1947080800</v>
      </c>
      <c r="L16" s="44"/>
      <c r="M16" s="44"/>
      <c r="N16" s="44"/>
      <c r="O16" s="747"/>
      <c r="P16" s="488"/>
    </row>
    <row r="17" spans="2:17" s="62" customFormat="1" ht="20.25" customHeight="1" x14ac:dyDescent="0.25">
      <c r="B17" s="59"/>
      <c r="C17" s="39"/>
      <c r="D17" s="140" t="s">
        <v>16</v>
      </c>
      <c r="E17" s="1623" t="s">
        <v>17</v>
      </c>
      <c r="F17" s="1624"/>
      <c r="G17" s="1625"/>
      <c r="H17" s="837" t="s">
        <v>18</v>
      </c>
      <c r="I17" s="746">
        <v>1</v>
      </c>
      <c r="J17" s="612">
        <v>200000000</v>
      </c>
      <c r="K17" s="47">
        <v>200000000</v>
      </c>
      <c r="L17" s="44"/>
      <c r="M17" s="44"/>
      <c r="N17" s="44"/>
      <c r="O17" s="747"/>
      <c r="P17" s="488"/>
    </row>
    <row r="18" spans="2:17" s="62" customFormat="1" ht="20.25" customHeight="1" x14ac:dyDescent="0.25">
      <c r="B18" s="59"/>
      <c r="C18" s="39"/>
      <c r="D18" s="140" t="s">
        <v>19</v>
      </c>
      <c r="E18" s="1623" t="s">
        <v>20</v>
      </c>
      <c r="F18" s="1624"/>
      <c r="G18" s="1625"/>
      <c r="H18" s="837" t="s">
        <v>21</v>
      </c>
      <c r="I18" s="746">
        <v>1</v>
      </c>
      <c r="J18" s="612">
        <f>238307500-65807500</f>
        <v>172500000</v>
      </c>
      <c r="K18" s="47">
        <f>238307500-65807500</f>
        <v>172500000</v>
      </c>
      <c r="L18" s="44"/>
      <c r="M18" s="44"/>
      <c r="N18" s="44"/>
      <c r="O18" s="747"/>
      <c r="P18" s="488"/>
    </row>
    <row r="19" spans="2:17" s="62" customFormat="1" ht="28.5" customHeight="1" x14ac:dyDescent="0.25">
      <c r="B19" s="59"/>
      <c r="C19" s="39"/>
      <c r="D19" s="140" t="s">
        <v>27</v>
      </c>
      <c r="E19" s="1629" t="s">
        <v>23</v>
      </c>
      <c r="F19" s="1630"/>
      <c r="G19" s="1631"/>
      <c r="H19" s="843" t="s">
        <v>24</v>
      </c>
      <c r="I19" s="746">
        <v>1</v>
      </c>
      <c r="J19" s="612">
        <v>100000000</v>
      </c>
      <c r="K19" s="47">
        <v>100000000</v>
      </c>
      <c r="L19" s="44"/>
      <c r="M19" s="44"/>
      <c r="N19" s="44"/>
      <c r="O19" s="747"/>
      <c r="P19" s="488"/>
    </row>
    <row r="20" spans="2:17" s="62" customFormat="1" ht="44.25" customHeight="1" x14ac:dyDescent="0.25">
      <c r="B20" s="59"/>
      <c r="C20" s="49"/>
      <c r="D20" s="79" t="s">
        <v>30</v>
      </c>
      <c r="E20" s="1623" t="s">
        <v>25</v>
      </c>
      <c r="F20" s="1624"/>
      <c r="G20" s="1625"/>
      <c r="H20" s="80" t="s">
        <v>26</v>
      </c>
      <c r="I20" s="81">
        <v>1</v>
      </c>
      <c r="J20" s="613">
        <v>10000000</v>
      </c>
      <c r="K20" s="52">
        <v>10000000</v>
      </c>
      <c r="L20" s="44"/>
      <c r="M20" s="44"/>
      <c r="N20" s="44"/>
      <c r="O20" s="844"/>
      <c r="P20" s="488"/>
    </row>
    <row r="21" spans="2:17" s="62" customFormat="1" ht="27" customHeight="1" x14ac:dyDescent="0.25">
      <c r="B21" s="59"/>
      <c r="C21" s="39"/>
      <c r="D21" s="140" t="s">
        <v>8</v>
      </c>
      <c r="E21" s="1623" t="s">
        <v>28</v>
      </c>
      <c r="F21" s="1624"/>
      <c r="G21" s="1625"/>
      <c r="H21" s="837" t="s">
        <v>29</v>
      </c>
      <c r="I21" s="746">
        <v>1</v>
      </c>
      <c r="J21" s="612">
        <f>40000000-10000000</f>
        <v>30000000</v>
      </c>
      <c r="K21" s="47">
        <f>40000000-10000000</f>
        <v>30000000</v>
      </c>
      <c r="L21" s="44"/>
      <c r="M21" s="44"/>
      <c r="N21" s="44"/>
      <c r="O21" s="747"/>
      <c r="P21" s="488"/>
    </row>
    <row r="22" spans="2:17" s="62" customFormat="1" ht="27" customHeight="1" x14ac:dyDescent="0.25">
      <c r="B22" s="59"/>
      <c r="C22" s="39"/>
      <c r="D22" s="140" t="s">
        <v>22</v>
      </c>
      <c r="E22" s="1623" t="s">
        <v>31</v>
      </c>
      <c r="F22" s="1624"/>
      <c r="G22" s="1625"/>
      <c r="H22" s="837" t="s">
        <v>32</v>
      </c>
      <c r="I22" s="746">
        <v>1</v>
      </c>
      <c r="J22" s="612">
        <f>30000000</f>
        <v>30000000</v>
      </c>
      <c r="K22" s="47">
        <f>30000000</f>
        <v>30000000</v>
      </c>
      <c r="L22" s="44"/>
      <c r="M22" s="44"/>
      <c r="N22" s="44"/>
      <c r="O22" s="747"/>
      <c r="P22" s="488"/>
    </row>
    <row r="23" spans="2:17" s="62" customFormat="1" ht="3.75" customHeight="1" x14ac:dyDescent="0.25">
      <c r="B23" s="59"/>
      <c r="C23" s="766"/>
      <c r="D23" s="759"/>
      <c r="E23" s="845"/>
      <c r="F23" s="1611"/>
      <c r="G23" s="1612"/>
      <c r="H23" s="846"/>
      <c r="I23" s="847"/>
      <c r="J23" s="611"/>
      <c r="K23" s="43"/>
      <c r="L23" s="44"/>
      <c r="M23" s="44"/>
      <c r="N23" s="44"/>
      <c r="O23" s="848"/>
      <c r="P23" s="488"/>
    </row>
    <row r="24" spans="2:17" s="62" customFormat="1" ht="26.25" customHeight="1" x14ac:dyDescent="0.25">
      <c r="B24" s="59"/>
      <c r="C24" s="849" t="s">
        <v>434</v>
      </c>
      <c r="D24" s="1626" t="s">
        <v>35</v>
      </c>
      <c r="E24" s="1627"/>
      <c r="F24" s="1627"/>
      <c r="G24" s="1628"/>
      <c r="H24" s="721" t="s">
        <v>36</v>
      </c>
      <c r="I24" s="850"/>
      <c r="J24" s="722">
        <f>J25+J26+J27+J28+J29+J33+J36+J37+J38</f>
        <v>4220250000</v>
      </c>
      <c r="K24" s="723">
        <f>K25+K26+K27+K28+K29+K33+K36+K37+K38</f>
        <v>4220250000</v>
      </c>
      <c r="L24" s="38"/>
      <c r="M24" s="38"/>
      <c r="N24" s="38"/>
      <c r="O24" s="724"/>
      <c r="P24" s="487"/>
    </row>
    <row r="25" spans="2:17" s="62" customFormat="1" ht="21" customHeight="1" x14ac:dyDescent="0.25">
      <c r="B25" s="59"/>
      <c r="C25" s="39"/>
      <c r="D25" s="140" t="s">
        <v>5</v>
      </c>
      <c r="E25" s="1529" t="s">
        <v>37</v>
      </c>
      <c r="F25" s="1622"/>
      <c r="G25" s="1530"/>
      <c r="H25" s="970" t="s">
        <v>38</v>
      </c>
      <c r="I25" s="746">
        <v>1</v>
      </c>
      <c r="J25" s="611">
        <v>350000000</v>
      </c>
      <c r="K25" s="43">
        <v>350000000</v>
      </c>
      <c r="L25" s="44"/>
      <c r="M25" s="44"/>
      <c r="N25" s="44"/>
      <c r="O25" s="747"/>
      <c r="P25" s="488"/>
    </row>
    <row r="26" spans="2:17" s="62" customFormat="1" ht="21" customHeight="1" x14ac:dyDescent="0.25">
      <c r="B26" s="59"/>
      <c r="C26" s="39"/>
      <c r="D26" s="140" t="s">
        <v>10</v>
      </c>
      <c r="E26" s="1529" t="s">
        <v>485</v>
      </c>
      <c r="F26" s="1622"/>
      <c r="G26" s="1530"/>
      <c r="H26" s="970" t="s">
        <v>39</v>
      </c>
      <c r="I26" s="746">
        <v>1</v>
      </c>
      <c r="J26" s="611">
        <v>452890000</v>
      </c>
      <c r="K26" s="43">
        <f>452890000</f>
        <v>452890000</v>
      </c>
      <c r="L26" s="44"/>
      <c r="M26" s="44"/>
      <c r="N26" s="44"/>
      <c r="O26" s="747"/>
      <c r="P26" s="488"/>
    </row>
    <row r="27" spans="2:17" s="62" customFormat="1" ht="21" customHeight="1" x14ac:dyDescent="0.25">
      <c r="B27" s="59"/>
      <c r="C27" s="39"/>
      <c r="D27" s="140" t="s">
        <v>13</v>
      </c>
      <c r="E27" s="1529" t="s">
        <v>40</v>
      </c>
      <c r="F27" s="1622"/>
      <c r="G27" s="1530"/>
      <c r="H27" s="970" t="s">
        <v>41</v>
      </c>
      <c r="I27" s="746">
        <v>1</v>
      </c>
      <c r="J27" s="612">
        <f>600000000</f>
        <v>600000000</v>
      </c>
      <c r="K27" s="47">
        <f>600000000</f>
        <v>600000000</v>
      </c>
      <c r="L27" s="44"/>
      <c r="M27" s="44"/>
      <c r="N27" s="44"/>
      <c r="O27" s="747"/>
      <c r="P27" s="488"/>
    </row>
    <row r="28" spans="2:17" s="62" customFormat="1" ht="31.5" customHeight="1" x14ac:dyDescent="0.25">
      <c r="B28" s="59"/>
      <c r="C28" s="766"/>
      <c r="D28" s="759" t="s">
        <v>16</v>
      </c>
      <c r="E28" s="1529" t="s">
        <v>42</v>
      </c>
      <c r="F28" s="1622"/>
      <c r="G28" s="1530"/>
      <c r="H28" s="970" t="s">
        <v>43</v>
      </c>
      <c r="I28" s="746">
        <v>1</v>
      </c>
      <c r="J28" s="611">
        <v>243360000</v>
      </c>
      <c r="K28" s="43">
        <v>243360000</v>
      </c>
      <c r="L28" s="44"/>
      <c r="M28" s="44"/>
      <c r="N28" s="44"/>
      <c r="O28" s="747"/>
      <c r="P28" s="488"/>
    </row>
    <row r="29" spans="2:17" s="62" customFormat="1" ht="31.5" customHeight="1" x14ac:dyDescent="0.25">
      <c r="B29" s="59"/>
      <c r="C29" s="39"/>
      <c r="D29" s="140" t="s">
        <v>19</v>
      </c>
      <c r="E29" s="1618" t="s">
        <v>44</v>
      </c>
      <c r="F29" s="1619"/>
      <c r="G29" s="1620"/>
      <c r="H29" s="748" t="s">
        <v>45</v>
      </c>
      <c r="I29" s="746">
        <v>1</v>
      </c>
      <c r="J29" s="660">
        <f>SUM(J30:J32)</f>
        <v>210000000</v>
      </c>
      <c r="K29" s="60">
        <f>SUM(K30:K32)</f>
        <v>210000000</v>
      </c>
      <c r="L29" s="61"/>
      <c r="M29" s="61"/>
      <c r="N29" s="61"/>
      <c r="O29" s="747"/>
      <c r="P29" s="489"/>
      <c r="Q29" s="63"/>
    </row>
    <row r="30" spans="2:17" s="62" customFormat="1" ht="26.25" customHeight="1" x14ac:dyDescent="0.25">
      <c r="B30" s="59"/>
      <c r="C30" s="39"/>
      <c r="D30" s="140"/>
      <c r="E30" s="838" t="s">
        <v>46</v>
      </c>
      <c r="F30" s="1616" t="s">
        <v>47</v>
      </c>
      <c r="G30" s="1617"/>
      <c r="H30" s="969" t="s">
        <v>48</v>
      </c>
      <c r="I30" s="137"/>
      <c r="J30" s="616">
        <v>200000000</v>
      </c>
      <c r="K30" s="66">
        <v>200000000</v>
      </c>
      <c r="L30" s="67"/>
      <c r="M30" s="67"/>
      <c r="N30" s="67"/>
      <c r="O30" s="519"/>
      <c r="P30" s="490"/>
      <c r="Q30" s="63"/>
    </row>
    <row r="31" spans="2:17" s="62" customFormat="1" ht="25.5" customHeight="1" x14ac:dyDescent="0.25">
      <c r="B31" s="59"/>
      <c r="C31" s="39"/>
      <c r="D31" s="140"/>
      <c r="E31" s="838" t="s">
        <v>46</v>
      </c>
      <c r="F31" s="1616" t="s">
        <v>49</v>
      </c>
      <c r="G31" s="1617"/>
      <c r="H31" s="969" t="s">
        <v>50</v>
      </c>
      <c r="I31" s="137"/>
      <c r="J31" s="616">
        <v>10000000</v>
      </c>
      <c r="K31" s="66">
        <v>10000000</v>
      </c>
      <c r="L31" s="67"/>
      <c r="M31" s="67"/>
      <c r="N31" s="67"/>
      <c r="O31" s="519"/>
      <c r="P31" s="490"/>
      <c r="Q31" s="63"/>
    </row>
    <row r="32" spans="2:17" s="62" customFormat="1" ht="14.25" hidden="1" customHeight="1" x14ac:dyDescent="0.25">
      <c r="B32" s="59"/>
      <c r="C32" s="39"/>
      <c r="D32" s="140"/>
      <c r="E32" s="838" t="s">
        <v>46</v>
      </c>
      <c r="F32" s="1616" t="s">
        <v>482</v>
      </c>
      <c r="G32" s="1617"/>
      <c r="H32" s="969" t="s">
        <v>483</v>
      </c>
      <c r="I32" s="137"/>
      <c r="J32" s="616"/>
      <c r="K32" s="66"/>
      <c r="L32" s="67"/>
      <c r="M32" s="67"/>
      <c r="N32" s="67"/>
      <c r="O32" s="519"/>
      <c r="P32" s="490"/>
      <c r="Q32" s="63"/>
    </row>
    <row r="33" spans="2:17" s="62" customFormat="1" ht="26.25" customHeight="1" x14ac:dyDescent="0.25">
      <c r="B33" s="59"/>
      <c r="C33" s="39"/>
      <c r="D33" s="140" t="s">
        <v>27</v>
      </c>
      <c r="E33" s="1618" t="s">
        <v>51</v>
      </c>
      <c r="F33" s="1619"/>
      <c r="G33" s="1620"/>
      <c r="H33" s="840" t="s">
        <v>53</v>
      </c>
      <c r="I33" s="746">
        <v>1</v>
      </c>
      <c r="J33" s="617">
        <f>SUM(J34:J35)</f>
        <v>950000000</v>
      </c>
      <c r="K33" s="71">
        <f>SUM(K34:K35)</f>
        <v>950000000</v>
      </c>
      <c r="L33" s="61"/>
      <c r="M33" s="61"/>
      <c r="N33" s="61"/>
      <c r="O33" s="747"/>
      <c r="P33" s="489"/>
      <c r="Q33" s="63"/>
    </row>
    <row r="34" spans="2:17" s="62" customFormat="1" ht="27.75" customHeight="1" x14ac:dyDescent="0.25">
      <c r="B34" s="59"/>
      <c r="C34" s="39"/>
      <c r="D34" s="140"/>
      <c r="E34" s="838" t="s">
        <v>46</v>
      </c>
      <c r="F34" s="1616" t="s">
        <v>52</v>
      </c>
      <c r="G34" s="1617"/>
      <c r="H34" s="969" t="s">
        <v>53</v>
      </c>
      <c r="I34" s="841"/>
      <c r="J34" s="618">
        <v>915000000</v>
      </c>
      <c r="K34" s="73">
        <v>915000000</v>
      </c>
      <c r="L34" s="67"/>
      <c r="M34" s="67"/>
      <c r="N34" s="67"/>
      <c r="O34" s="842"/>
      <c r="P34" s="490"/>
      <c r="Q34" s="63"/>
    </row>
    <row r="35" spans="2:17" s="62" customFormat="1" ht="27" customHeight="1" x14ac:dyDescent="0.25">
      <c r="B35" s="59"/>
      <c r="C35" s="39"/>
      <c r="D35" s="140"/>
      <c r="E35" s="838" t="s">
        <v>46</v>
      </c>
      <c r="F35" s="1616" t="s">
        <v>54</v>
      </c>
      <c r="G35" s="1617"/>
      <c r="H35" s="969" t="s">
        <v>55</v>
      </c>
      <c r="I35" s="137"/>
      <c r="J35" s="618">
        <v>35000000</v>
      </c>
      <c r="K35" s="73">
        <v>35000000</v>
      </c>
      <c r="L35" s="67"/>
      <c r="M35" s="67"/>
      <c r="N35" s="67"/>
      <c r="O35" s="519"/>
      <c r="P35" s="490"/>
      <c r="Q35" s="63"/>
    </row>
    <row r="36" spans="2:17" s="62" customFormat="1" ht="26.25" customHeight="1" x14ac:dyDescent="0.25">
      <c r="B36" s="59"/>
      <c r="C36" s="39"/>
      <c r="D36" s="140" t="s">
        <v>30</v>
      </c>
      <c r="E36" s="1621" t="s">
        <v>56</v>
      </c>
      <c r="F36" s="1621"/>
      <c r="G36" s="1621"/>
      <c r="H36" s="74" t="s">
        <v>57</v>
      </c>
      <c r="I36" s="746">
        <v>1</v>
      </c>
      <c r="J36" s="612">
        <v>150000000</v>
      </c>
      <c r="K36" s="47">
        <v>150000000</v>
      </c>
      <c r="L36" s="44"/>
      <c r="M36" s="44"/>
      <c r="N36" s="44"/>
      <c r="O36" s="747"/>
      <c r="P36" s="488"/>
    </row>
    <row r="37" spans="2:17" s="62" customFormat="1" ht="21" customHeight="1" x14ac:dyDescent="0.25">
      <c r="B37" s="59"/>
      <c r="C37" s="39"/>
      <c r="D37" s="140" t="s">
        <v>8</v>
      </c>
      <c r="E37" s="1621" t="s">
        <v>58</v>
      </c>
      <c r="F37" s="1621"/>
      <c r="G37" s="1621"/>
      <c r="H37" s="970" t="s">
        <v>34</v>
      </c>
      <c r="I37" s="746">
        <v>1</v>
      </c>
      <c r="J37" s="612">
        <v>164000000</v>
      </c>
      <c r="K37" s="47">
        <v>164000000</v>
      </c>
      <c r="L37" s="44"/>
      <c r="M37" s="44"/>
      <c r="N37" s="44"/>
      <c r="O37" s="747"/>
      <c r="P37" s="488"/>
    </row>
    <row r="38" spans="2:17" s="229" customFormat="1" ht="26.25" customHeight="1" x14ac:dyDescent="0.25">
      <c r="B38" s="59"/>
      <c r="C38" s="39"/>
      <c r="D38" s="140" t="s">
        <v>22</v>
      </c>
      <c r="E38" s="1608" t="s">
        <v>33</v>
      </c>
      <c r="F38" s="1609"/>
      <c r="G38" s="1610"/>
      <c r="H38" s="811" t="s">
        <v>498</v>
      </c>
      <c r="I38" s="81">
        <v>1</v>
      </c>
      <c r="J38" s="613">
        <f>200000000+900000000</f>
        <v>1100000000</v>
      </c>
      <c r="K38" s="52">
        <f>200000000+900000000</f>
        <v>1100000000</v>
      </c>
      <c r="L38" s="44"/>
      <c r="M38" s="44"/>
      <c r="N38" s="44"/>
      <c r="O38" s="549"/>
      <c r="P38" s="488"/>
    </row>
    <row r="39" spans="2:17" s="62" customFormat="1" ht="3.75" customHeight="1" x14ac:dyDescent="0.25">
      <c r="B39" s="59"/>
      <c r="C39" s="766"/>
      <c r="D39" s="759"/>
      <c r="E39" s="851"/>
      <c r="F39" s="1611"/>
      <c r="G39" s="1612"/>
      <c r="H39" s="846"/>
      <c r="I39" s="847"/>
      <c r="J39" s="611"/>
      <c r="K39" s="43"/>
      <c r="L39" s="44"/>
      <c r="M39" s="44"/>
      <c r="N39" s="44"/>
      <c r="O39" s="852"/>
      <c r="P39" s="488"/>
    </row>
    <row r="40" spans="2:17" s="15" customFormat="1" ht="23.25" customHeight="1" x14ac:dyDescent="0.25">
      <c r="B40" s="13"/>
      <c r="C40" s="34" t="s">
        <v>435</v>
      </c>
      <c r="D40" s="1599" t="s">
        <v>59</v>
      </c>
      <c r="E40" s="1600"/>
      <c r="F40" s="1600"/>
      <c r="G40" s="1601"/>
      <c r="H40" s="35" t="s">
        <v>60</v>
      </c>
      <c r="I40" s="36"/>
      <c r="J40" s="610">
        <f>SUM(J41)</f>
        <v>329692000</v>
      </c>
      <c r="K40" s="37">
        <f>SUM(K41)</f>
        <v>329692000</v>
      </c>
      <c r="L40" s="991"/>
      <c r="M40" s="991"/>
      <c r="N40" s="38"/>
      <c r="O40" s="547"/>
      <c r="P40" s="487"/>
    </row>
    <row r="41" spans="2:17" s="29" customFormat="1" ht="19.5" customHeight="1" x14ac:dyDescent="0.25">
      <c r="B41" s="13"/>
      <c r="C41" s="76"/>
      <c r="D41" s="77" t="s">
        <v>5</v>
      </c>
      <c r="E41" s="1602" t="s">
        <v>61</v>
      </c>
      <c r="F41" s="1603"/>
      <c r="G41" s="1604"/>
      <c r="H41" s="50" t="s">
        <v>62</v>
      </c>
      <c r="I41" s="51">
        <v>1</v>
      </c>
      <c r="J41" s="613">
        <f>347700000-18008000</f>
        <v>329692000</v>
      </c>
      <c r="K41" s="52">
        <f>347700000-18008000</f>
        <v>329692000</v>
      </c>
      <c r="L41" s="44"/>
      <c r="M41" s="44"/>
      <c r="N41" s="44"/>
      <c r="O41" s="545"/>
      <c r="P41" s="488"/>
    </row>
    <row r="42" spans="2:17" s="29" customFormat="1" ht="3.75" customHeight="1" x14ac:dyDescent="0.25">
      <c r="B42" s="13"/>
      <c r="C42" s="91"/>
      <c r="D42" s="92"/>
      <c r="E42" s="1613"/>
      <c r="F42" s="1614"/>
      <c r="G42" s="1615"/>
      <c r="H42" s="93"/>
      <c r="I42" s="470"/>
      <c r="J42" s="619"/>
      <c r="K42" s="94"/>
      <c r="L42" s="992"/>
      <c r="M42" s="992"/>
      <c r="N42" s="44"/>
      <c r="O42" s="548"/>
      <c r="P42" s="488"/>
    </row>
    <row r="43" spans="2:17" s="15" customFormat="1" ht="22.5" customHeight="1" x14ac:dyDescent="0.25">
      <c r="B43" s="13"/>
      <c r="C43" s="34" t="s">
        <v>436</v>
      </c>
      <c r="D43" s="1599" t="s">
        <v>63</v>
      </c>
      <c r="E43" s="1600"/>
      <c r="F43" s="1600"/>
      <c r="G43" s="1601"/>
      <c r="H43" s="35" t="s">
        <v>64</v>
      </c>
      <c r="I43" s="36"/>
      <c r="J43" s="610">
        <f>J44</f>
        <v>250000000</v>
      </c>
      <c r="K43" s="37">
        <f>K44</f>
        <v>250000000</v>
      </c>
      <c r="L43" s="991"/>
      <c r="M43" s="991"/>
      <c r="N43" s="38"/>
      <c r="O43" s="547"/>
      <c r="P43" s="487"/>
    </row>
    <row r="44" spans="2:17" s="82" customFormat="1" ht="34.5" customHeight="1" x14ac:dyDescent="0.25">
      <c r="B44" s="59"/>
      <c r="C44" s="78"/>
      <c r="D44" s="79" t="s">
        <v>5</v>
      </c>
      <c r="E44" s="1593" t="s">
        <v>65</v>
      </c>
      <c r="F44" s="1594"/>
      <c r="G44" s="1595"/>
      <c r="H44" s="80" t="s">
        <v>66</v>
      </c>
      <c r="I44" s="81">
        <v>1</v>
      </c>
      <c r="J44" s="613">
        <f>300000000-50000000</f>
        <v>250000000</v>
      </c>
      <c r="K44" s="52">
        <f>300000000-50000000</f>
        <v>250000000</v>
      </c>
      <c r="L44" s="44"/>
      <c r="M44" s="44"/>
      <c r="N44" s="44"/>
      <c r="O44" s="549"/>
      <c r="P44" s="488"/>
    </row>
    <row r="45" spans="2:17" s="15" customFormat="1" ht="7.5" customHeight="1" x14ac:dyDescent="0.25">
      <c r="B45" s="13"/>
      <c r="C45" s="83"/>
      <c r="D45" s="84"/>
      <c r="E45" s="1596"/>
      <c r="F45" s="1597"/>
      <c r="G45" s="1598"/>
      <c r="H45" s="41"/>
      <c r="I45" s="57"/>
      <c r="J45" s="614"/>
      <c r="K45" s="58"/>
      <c r="L45" s="992"/>
      <c r="M45" s="992"/>
      <c r="N45" s="44"/>
      <c r="O45" s="546"/>
      <c r="P45" s="488"/>
    </row>
    <row r="46" spans="2:17" s="15" customFormat="1" ht="33" customHeight="1" x14ac:dyDescent="0.25">
      <c r="B46" s="13"/>
      <c r="C46" s="34" t="s">
        <v>437</v>
      </c>
      <c r="D46" s="1599" t="s">
        <v>67</v>
      </c>
      <c r="E46" s="1600"/>
      <c r="F46" s="1600"/>
      <c r="G46" s="1601"/>
      <c r="H46" s="35" t="s">
        <v>68</v>
      </c>
      <c r="I46" s="36"/>
      <c r="J46" s="610">
        <f>SUM(J47:J50)</f>
        <v>1472000000</v>
      </c>
      <c r="K46" s="37">
        <f>SUM(K47:K50)</f>
        <v>1472000000</v>
      </c>
      <c r="L46" s="991"/>
      <c r="M46" s="991"/>
      <c r="N46" s="38"/>
      <c r="O46" s="547"/>
      <c r="P46" s="487"/>
    </row>
    <row r="47" spans="2:17" s="29" customFormat="1" ht="16.5" customHeight="1" x14ac:dyDescent="0.25">
      <c r="B47" s="13"/>
      <c r="C47" s="54"/>
      <c r="D47" s="55" t="s">
        <v>5</v>
      </c>
      <c r="E47" s="1602" t="s">
        <v>69</v>
      </c>
      <c r="F47" s="1603"/>
      <c r="G47" s="1604"/>
      <c r="H47" s="41" t="s">
        <v>466</v>
      </c>
      <c r="I47" s="85">
        <v>1</v>
      </c>
      <c r="J47" s="614">
        <v>300000000</v>
      </c>
      <c r="K47" s="58">
        <v>300000000</v>
      </c>
      <c r="L47" s="992"/>
      <c r="M47" s="992"/>
      <c r="N47" s="44"/>
      <c r="O47" s="550"/>
      <c r="P47" s="488"/>
    </row>
    <row r="48" spans="2:17" s="29" customFormat="1" ht="16.5" customHeight="1" x14ac:dyDescent="0.25">
      <c r="B48" s="13"/>
      <c r="C48" s="54"/>
      <c r="D48" s="55" t="s">
        <v>10</v>
      </c>
      <c r="E48" s="1584" t="s">
        <v>70</v>
      </c>
      <c r="F48" s="1585"/>
      <c r="G48" s="1586"/>
      <c r="H48" s="46" t="s">
        <v>71</v>
      </c>
      <c r="I48" s="42">
        <v>1</v>
      </c>
      <c r="J48" s="620">
        <v>350000000</v>
      </c>
      <c r="K48" s="86">
        <v>350000000</v>
      </c>
      <c r="L48" s="992"/>
      <c r="M48" s="992"/>
      <c r="N48" s="44"/>
      <c r="O48" s="551"/>
      <c r="P48" s="488"/>
    </row>
    <row r="49" spans="2:18" s="29" customFormat="1" ht="16.5" customHeight="1" x14ac:dyDescent="0.25">
      <c r="B49" s="13"/>
      <c r="C49" s="87"/>
      <c r="D49" s="88" t="s">
        <v>13</v>
      </c>
      <c r="E49" s="1605" t="s">
        <v>72</v>
      </c>
      <c r="F49" s="1606"/>
      <c r="G49" s="1607"/>
      <c r="H49" s="46" t="s">
        <v>73</v>
      </c>
      <c r="I49" s="42">
        <v>1</v>
      </c>
      <c r="J49" s="612">
        <f>722000000</f>
        <v>722000000</v>
      </c>
      <c r="K49" s="47">
        <f>722000000</f>
        <v>722000000</v>
      </c>
      <c r="L49" s="44"/>
      <c r="M49" s="44"/>
      <c r="N49" s="44"/>
      <c r="O49" s="551"/>
      <c r="P49" s="488"/>
    </row>
    <row r="50" spans="2:18" s="29" customFormat="1" ht="28.5" customHeight="1" x14ac:dyDescent="0.25">
      <c r="B50" s="13"/>
      <c r="C50" s="76"/>
      <c r="D50" s="89" t="s">
        <v>16</v>
      </c>
      <c r="E50" s="1584" t="s">
        <v>74</v>
      </c>
      <c r="F50" s="1585"/>
      <c r="G50" s="1586"/>
      <c r="H50" s="50" t="s">
        <v>467</v>
      </c>
      <c r="I50" s="51">
        <v>1</v>
      </c>
      <c r="J50" s="621">
        <v>100000000</v>
      </c>
      <c r="K50" s="90">
        <v>100000000</v>
      </c>
      <c r="L50" s="992"/>
      <c r="M50" s="992"/>
      <c r="N50" s="44"/>
      <c r="O50" s="545"/>
      <c r="P50" s="488"/>
    </row>
    <row r="51" spans="2:18" ht="3.75" customHeight="1" x14ac:dyDescent="0.25">
      <c r="C51" s="95"/>
      <c r="D51" s="96"/>
      <c r="E51" s="965"/>
      <c r="F51" s="97"/>
      <c r="G51" s="966"/>
      <c r="H51" s="98"/>
      <c r="I51" s="99"/>
      <c r="J51" s="622"/>
      <c r="K51" s="100"/>
      <c r="L51" s="993"/>
      <c r="M51" s="993"/>
      <c r="N51" s="101"/>
      <c r="O51" s="552"/>
      <c r="P51" s="491"/>
    </row>
    <row r="52" spans="2:18" s="15" customFormat="1" ht="30" customHeight="1" x14ac:dyDescent="0.25">
      <c r="B52" s="13"/>
      <c r="C52" s="102"/>
      <c r="D52" s="1587" t="s">
        <v>75</v>
      </c>
      <c r="E52" s="1588"/>
      <c r="F52" s="1588"/>
      <c r="G52" s="1588"/>
      <c r="H52" s="1588"/>
      <c r="I52" s="1589"/>
      <c r="J52" s="623">
        <f>J53+J142+J168+J173+J181+J191+J195+J199+J206+J222+J228</f>
        <v>260176922971</v>
      </c>
      <c r="K52" s="103">
        <f>K53+K142+K168+K173+K181+K191+K195+K199+K206+K222+K228</f>
        <v>260176922971</v>
      </c>
      <c r="L52" s="994"/>
      <c r="M52" s="994"/>
      <c r="N52" s="104"/>
      <c r="O52" s="593"/>
      <c r="P52" s="14"/>
    </row>
    <row r="53" spans="2:18" s="15" customFormat="1" ht="32.25" customHeight="1" x14ac:dyDescent="0.25">
      <c r="B53" s="13"/>
      <c r="C53" s="1506" t="s">
        <v>438</v>
      </c>
      <c r="D53" s="1507"/>
      <c r="E53" s="1590" t="s">
        <v>76</v>
      </c>
      <c r="F53" s="1591"/>
      <c r="G53" s="1592"/>
      <c r="H53" s="105" t="s">
        <v>77</v>
      </c>
      <c r="I53" s="106"/>
      <c r="J53" s="624">
        <f>J54+J55+J58+J62+J65+J66+J67+J68+J90+J92+J96+J101+J111+J114+J119+J125+J127+J129+J131+J136</f>
        <v>175815000000</v>
      </c>
      <c r="K53" s="107">
        <f>K54+K55+K58+K62+K65+K66+K67+K68+K90+K92+K96+K101+K111+K114+K119+K125+K127+K129+K131+K136</f>
        <v>179015000000</v>
      </c>
      <c r="L53" s="995"/>
      <c r="M53" s="995"/>
      <c r="N53" s="108"/>
      <c r="O53" s="515"/>
      <c r="P53" s="108"/>
      <c r="Q53" s="16">
        <v>1100000000</v>
      </c>
      <c r="R53" s="21">
        <v>172915000000</v>
      </c>
    </row>
    <row r="54" spans="2:18" s="113" customFormat="1" ht="27.75" customHeight="1" x14ac:dyDescent="0.25">
      <c r="B54" s="59"/>
      <c r="C54" s="114"/>
      <c r="D54" s="447"/>
      <c r="E54" s="88" t="s">
        <v>5</v>
      </c>
      <c r="F54" s="1579" t="s">
        <v>78</v>
      </c>
      <c r="G54" s="1580"/>
      <c r="H54" s="165" t="s">
        <v>79</v>
      </c>
      <c r="I54" s="110">
        <v>1</v>
      </c>
      <c r="J54" s="625">
        <f>550000000+200000000</f>
        <v>750000000</v>
      </c>
      <c r="K54" s="111">
        <f>550000000+200000000</f>
        <v>750000000</v>
      </c>
      <c r="L54" s="112"/>
      <c r="M54" s="112"/>
      <c r="N54" s="112"/>
      <c r="O54" s="553"/>
      <c r="P54" s="112"/>
    </row>
    <row r="55" spans="2:18" s="113" customFormat="1" ht="19.5" customHeight="1" x14ac:dyDescent="0.25">
      <c r="B55" s="59"/>
      <c r="C55" s="39"/>
      <c r="D55" s="109"/>
      <c r="E55" s="450" t="s">
        <v>10</v>
      </c>
      <c r="F55" s="1577" t="s">
        <v>80</v>
      </c>
      <c r="G55" s="1578"/>
      <c r="H55" s="173" t="s">
        <v>411</v>
      </c>
      <c r="I55" s="445" t="s">
        <v>430</v>
      </c>
      <c r="J55" s="626">
        <f>J56+J57</f>
        <v>850000000</v>
      </c>
      <c r="K55" s="117">
        <f>K56+K57</f>
        <v>850000000</v>
      </c>
      <c r="L55" s="118"/>
      <c r="M55" s="118"/>
      <c r="N55" s="118"/>
      <c r="O55" s="554"/>
      <c r="P55" s="118"/>
    </row>
    <row r="56" spans="2:18" s="113" customFormat="1" x14ac:dyDescent="0.25">
      <c r="B56" s="59"/>
      <c r="C56" s="119"/>
      <c r="D56" s="120"/>
      <c r="E56" s="121"/>
      <c r="F56" s="122" t="s">
        <v>46</v>
      </c>
      <c r="G56" s="123" t="s">
        <v>81</v>
      </c>
      <c r="H56" s="601"/>
      <c r="I56" s="124" t="s">
        <v>86</v>
      </c>
      <c r="J56" s="627">
        <v>500000000</v>
      </c>
      <c r="K56" s="125">
        <v>500000000</v>
      </c>
      <c r="L56" s="126"/>
      <c r="M56" s="126"/>
      <c r="N56" s="126"/>
      <c r="O56" s="555"/>
      <c r="P56" s="126"/>
    </row>
    <row r="57" spans="2:18" s="113" customFormat="1" x14ac:dyDescent="0.25">
      <c r="B57" s="59"/>
      <c r="C57" s="119"/>
      <c r="D57" s="120"/>
      <c r="E57" s="121"/>
      <c r="F57" s="122" t="s">
        <v>46</v>
      </c>
      <c r="G57" s="123" t="s">
        <v>82</v>
      </c>
      <c r="H57" s="601"/>
      <c r="I57" s="124" t="s">
        <v>86</v>
      </c>
      <c r="J57" s="627">
        <v>350000000</v>
      </c>
      <c r="K57" s="125">
        <v>350000000</v>
      </c>
      <c r="L57" s="126"/>
      <c r="M57" s="126"/>
      <c r="N57" s="126"/>
      <c r="O57" s="555"/>
      <c r="P57" s="126"/>
    </row>
    <row r="58" spans="2:18" s="113" customFormat="1" ht="21" customHeight="1" x14ac:dyDescent="0.25">
      <c r="B58" s="59"/>
      <c r="C58" s="39"/>
      <c r="D58" s="109"/>
      <c r="E58" s="449" t="s">
        <v>13</v>
      </c>
      <c r="F58" s="1581" t="s">
        <v>83</v>
      </c>
      <c r="G58" s="1581"/>
      <c r="H58" s="469" t="s">
        <v>412</v>
      </c>
      <c r="I58" s="444" t="s">
        <v>430</v>
      </c>
      <c r="J58" s="626">
        <f>SUM(J59:J60)</f>
        <v>400000000</v>
      </c>
      <c r="K58" s="117">
        <f>SUM(K59:K60)</f>
        <v>400000000</v>
      </c>
      <c r="L58" s="118"/>
      <c r="M58" s="118"/>
      <c r="N58" s="118"/>
      <c r="O58" s="556"/>
      <c r="P58" s="118"/>
    </row>
    <row r="59" spans="2:18" s="113" customFormat="1" x14ac:dyDescent="0.25">
      <c r="B59" s="59"/>
      <c r="C59" s="127"/>
      <c r="D59" s="128"/>
      <c r="E59" s="129"/>
      <c r="F59" s="130" t="s">
        <v>46</v>
      </c>
      <c r="G59" s="131" t="s">
        <v>84</v>
      </c>
      <c r="H59" s="602"/>
      <c r="I59" s="116" t="s">
        <v>86</v>
      </c>
      <c r="J59" s="627">
        <v>200000000</v>
      </c>
      <c r="K59" s="125">
        <v>200000000</v>
      </c>
      <c r="L59" s="126"/>
      <c r="M59" s="126"/>
      <c r="N59" s="126"/>
      <c r="O59" s="557"/>
      <c r="P59" s="126"/>
    </row>
    <row r="60" spans="2:18" s="113" customFormat="1" ht="14.25" customHeight="1" x14ac:dyDescent="0.25">
      <c r="B60" s="59"/>
      <c r="C60" s="119"/>
      <c r="D60" s="120"/>
      <c r="E60" s="121"/>
      <c r="F60" s="122" t="s">
        <v>46</v>
      </c>
      <c r="G60" s="123" t="s">
        <v>85</v>
      </c>
      <c r="H60" s="601"/>
      <c r="I60" s="124" t="s">
        <v>86</v>
      </c>
      <c r="J60" s="627">
        <v>200000000</v>
      </c>
      <c r="K60" s="125">
        <v>200000000</v>
      </c>
      <c r="L60" s="126"/>
      <c r="M60" s="126"/>
      <c r="N60" s="126"/>
      <c r="O60" s="555"/>
      <c r="P60" s="126"/>
    </row>
    <row r="61" spans="2:18" s="82" customFormat="1" ht="20.25" customHeight="1" x14ac:dyDescent="0.25">
      <c r="B61" s="59"/>
      <c r="C61" s="39"/>
      <c r="D61" s="109"/>
      <c r="E61" s="88" t="s">
        <v>16</v>
      </c>
      <c r="F61" s="1582" t="s">
        <v>87</v>
      </c>
      <c r="G61" s="1583"/>
      <c r="H61" s="968" t="s">
        <v>413</v>
      </c>
      <c r="I61" s="134">
        <v>1</v>
      </c>
      <c r="J61" s="628">
        <v>0</v>
      </c>
      <c r="K61" s="135">
        <v>0</v>
      </c>
      <c r="L61" s="108"/>
      <c r="M61" s="108"/>
      <c r="N61" s="108"/>
      <c r="O61" s="558"/>
      <c r="P61" s="108"/>
      <c r="Q61" s="136"/>
    </row>
    <row r="62" spans="2:18" s="82" customFormat="1" ht="29.25" customHeight="1" x14ac:dyDescent="0.25">
      <c r="B62" s="59"/>
      <c r="C62" s="39"/>
      <c r="D62" s="109"/>
      <c r="E62" s="88" t="s">
        <v>19</v>
      </c>
      <c r="F62" s="1582" t="s">
        <v>88</v>
      </c>
      <c r="G62" s="1583"/>
      <c r="H62" s="469" t="s">
        <v>414</v>
      </c>
      <c r="I62" s="443" t="s">
        <v>430</v>
      </c>
      <c r="J62" s="626">
        <f>SUM(J63:J64)</f>
        <v>900000000</v>
      </c>
      <c r="K62" s="117">
        <f>SUM(K63:K64)</f>
        <v>900000000</v>
      </c>
      <c r="L62" s="118"/>
      <c r="M62" s="118"/>
      <c r="N62" s="118"/>
      <c r="O62" s="559"/>
      <c r="P62" s="118"/>
    </row>
    <row r="63" spans="2:18" s="113" customFormat="1" ht="15.75" customHeight="1" x14ac:dyDescent="0.25">
      <c r="B63" s="59"/>
      <c r="C63" s="119"/>
      <c r="D63" s="120"/>
      <c r="E63" s="121"/>
      <c r="F63" s="122" t="s">
        <v>46</v>
      </c>
      <c r="G63" s="138" t="s">
        <v>392</v>
      </c>
      <c r="H63" s="601"/>
      <c r="I63" s="137" t="s">
        <v>86</v>
      </c>
      <c r="J63" s="627">
        <v>600000000</v>
      </c>
      <c r="K63" s="125">
        <v>600000000</v>
      </c>
      <c r="L63" s="126"/>
      <c r="M63" s="126"/>
      <c r="N63" s="126"/>
      <c r="O63" s="560"/>
      <c r="P63" s="126"/>
    </row>
    <row r="64" spans="2:18" s="113" customFormat="1" ht="25.5" x14ac:dyDescent="0.25">
      <c r="B64" s="59"/>
      <c r="C64" s="119"/>
      <c r="D64" s="120"/>
      <c r="E64" s="121"/>
      <c r="F64" s="122" t="s">
        <v>46</v>
      </c>
      <c r="G64" s="138" t="s">
        <v>89</v>
      </c>
      <c r="H64" s="601"/>
      <c r="I64" s="137" t="s">
        <v>86</v>
      </c>
      <c r="J64" s="627">
        <v>300000000</v>
      </c>
      <c r="K64" s="125">
        <v>300000000</v>
      </c>
      <c r="L64" s="126"/>
      <c r="M64" s="126"/>
      <c r="N64" s="126"/>
      <c r="O64" s="519"/>
      <c r="P64" s="126"/>
    </row>
    <row r="65" spans="2:19" s="29" customFormat="1" ht="19.5" customHeight="1" x14ac:dyDescent="0.25">
      <c r="B65" s="13"/>
      <c r="C65" s="39"/>
      <c r="D65" s="140"/>
      <c r="E65" s="109" t="s">
        <v>27</v>
      </c>
      <c r="F65" s="1533" t="s">
        <v>90</v>
      </c>
      <c r="G65" s="1534"/>
      <c r="H65" s="172" t="s">
        <v>91</v>
      </c>
      <c r="I65" s="142" t="s">
        <v>92</v>
      </c>
      <c r="J65" s="629">
        <f>100000000</f>
        <v>100000000</v>
      </c>
      <c r="K65" s="143">
        <f>100000000</f>
        <v>100000000</v>
      </c>
      <c r="L65" s="144"/>
      <c r="M65" s="144"/>
      <c r="N65" s="144"/>
      <c r="O65" s="520"/>
      <c r="P65" s="492"/>
      <c r="S65" s="145"/>
    </row>
    <row r="66" spans="2:19" s="62" customFormat="1" ht="19.5" customHeight="1" x14ac:dyDescent="0.25">
      <c r="B66" s="59"/>
      <c r="C66" s="39"/>
      <c r="D66" s="109"/>
      <c r="E66" s="88" t="s">
        <v>30</v>
      </c>
      <c r="F66" s="1582" t="s">
        <v>93</v>
      </c>
      <c r="G66" s="1583"/>
      <c r="H66" s="968" t="s">
        <v>94</v>
      </c>
      <c r="I66" s="442" t="s">
        <v>481</v>
      </c>
      <c r="J66" s="630">
        <f>7200000000+4000000000</f>
        <v>11200000000</v>
      </c>
      <c r="K66" s="146">
        <f>7200000000+4000000000</f>
        <v>11200000000</v>
      </c>
      <c r="L66" s="147"/>
      <c r="M66" s="147"/>
      <c r="N66" s="147"/>
      <c r="O66" s="521"/>
      <c r="P66" s="118"/>
      <c r="Q66" s="148"/>
      <c r="S66" s="148">
        <f>R66/800000</f>
        <v>0</v>
      </c>
    </row>
    <row r="67" spans="2:19" s="113" customFormat="1" ht="19.5" customHeight="1" x14ac:dyDescent="0.25">
      <c r="B67" s="59"/>
      <c r="C67" s="39"/>
      <c r="D67" s="109"/>
      <c r="E67" s="88" t="s">
        <v>8</v>
      </c>
      <c r="F67" s="1582" t="s">
        <v>95</v>
      </c>
      <c r="G67" s="1583"/>
      <c r="H67" s="469" t="s">
        <v>96</v>
      </c>
      <c r="I67" s="110" t="s">
        <v>429</v>
      </c>
      <c r="J67" s="631">
        <f>16100000000-10000000000+200000000</f>
        <v>6300000000</v>
      </c>
      <c r="K67" s="149">
        <f>16100000000-10000000000+200000000</f>
        <v>6300000000</v>
      </c>
      <c r="L67" s="150"/>
      <c r="M67" s="150"/>
      <c r="N67" s="150"/>
      <c r="O67" s="516"/>
      <c r="P67" s="112"/>
      <c r="R67" s="151"/>
    </row>
    <row r="68" spans="2:19" s="82" customFormat="1" ht="19.5" customHeight="1" x14ac:dyDescent="0.25">
      <c r="B68" s="59"/>
      <c r="C68" s="39"/>
      <c r="D68" s="109"/>
      <c r="E68" s="88" t="s">
        <v>22</v>
      </c>
      <c r="F68" s="1579" t="s">
        <v>97</v>
      </c>
      <c r="G68" s="1580"/>
      <c r="H68" s="152" t="s">
        <v>98</v>
      </c>
      <c r="I68" s="153">
        <v>1</v>
      </c>
      <c r="J68" s="632">
        <f>SUM(J69:J74)</f>
        <v>6600000000</v>
      </c>
      <c r="K68" s="154">
        <f>SUM(K69:K74)</f>
        <v>6600000000</v>
      </c>
      <c r="L68" s="118"/>
      <c r="M68" s="118"/>
      <c r="N68" s="118"/>
      <c r="O68" s="522"/>
      <c r="P68" s="118"/>
      <c r="R68" s="155"/>
    </row>
    <row r="69" spans="2:19" s="163" customFormat="1" x14ac:dyDescent="0.25">
      <c r="B69" s="59"/>
      <c r="C69" s="119"/>
      <c r="D69" s="156"/>
      <c r="E69" s="157"/>
      <c r="F69" s="158" t="s">
        <v>46</v>
      </c>
      <c r="G69" s="159" t="s">
        <v>99</v>
      </c>
      <c r="H69" s="160"/>
      <c r="I69" s="161"/>
      <c r="J69" s="633">
        <v>1100000000</v>
      </c>
      <c r="K69" s="162">
        <v>1100000000</v>
      </c>
      <c r="L69" s="126"/>
      <c r="M69" s="126"/>
      <c r="N69" s="126"/>
      <c r="O69" s="523"/>
      <c r="P69" s="126"/>
    </row>
    <row r="70" spans="2:19" s="163" customFormat="1" x14ac:dyDescent="0.25">
      <c r="B70" s="59"/>
      <c r="C70" s="119"/>
      <c r="D70" s="156"/>
      <c r="E70" s="157"/>
      <c r="F70" s="158" t="s">
        <v>46</v>
      </c>
      <c r="G70" s="159" t="s">
        <v>100</v>
      </c>
      <c r="H70" s="160"/>
      <c r="I70" s="161"/>
      <c r="J70" s="633">
        <v>1100000000</v>
      </c>
      <c r="K70" s="162">
        <v>1100000000</v>
      </c>
      <c r="L70" s="126"/>
      <c r="M70" s="126"/>
      <c r="N70" s="126"/>
      <c r="O70" s="523"/>
      <c r="P70" s="126"/>
      <c r="R70" s="164"/>
    </row>
    <row r="71" spans="2:19" s="163" customFormat="1" x14ac:dyDescent="0.25">
      <c r="B71" s="59"/>
      <c r="C71" s="119"/>
      <c r="D71" s="156"/>
      <c r="E71" s="157"/>
      <c r="F71" s="158" t="s">
        <v>46</v>
      </c>
      <c r="G71" s="159" t="s">
        <v>101</v>
      </c>
      <c r="H71" s="160"/>
      <c r="I71" s="161"/>
      <c r="J71" s="633">
        <v>1100000000</v>
      </c>
      <c r="K71" s="162">
        <v>1100000000</v>
      </c>
      <c r="L71" s="126"/>
      <c r="M71" s="126"/>
      <c r="N71" s="126"/>
      <c r="O71" s="523"/>
      <c r="P71" s="126"/>
    </row>
    <row r="72" spans="2:19" s="163" customFormat="1" x14ac:dyDescent="0.25">
      <c r="B72" s="59"/>
      <c r="C72" s="119"/>
      <c r="D72" s="156"/>
      <c r="E72" s="157"/>
      <c r="F72" s="158" t="s">
        <v>46</v>
      </c>
      <c r="G72" s="159" t="s">
        <v>102</v>
      </c>
      <c r="H72" s="160"/>
      <c r="I72" s="161"/>
      <c r="J72" s="633">
        <v>1100000000</v>
      </c>
      <c r="K72" s="162">
        <v>1100000000</v>
      </c>
      <c r="L72" s="126"/>
      <c r="M72" s="126"/>
      <c r="N72" s="126"/>
      <c r="O72" s="523"/>
      <c r="P72" s="126"/>
    </row>
    <row r="73" spans="2:19" s="163" customFormat="1" x14ac:dyDescent="0.25">
      <c r="B73" s="59"/>
      <c r="C73" s="119"/>
      <c r="D73" s="156"/>
      <c r="E73" s="157"/>
      <c r="F73" s="158" t="s">
        <v>46</v>
      </c>
      <c r="G73" s="159" t="s">
        <v>103</v>
      </c>
      <c r="H73" s="160"/>
      <c r="I73" s="161"/>
      <c r="J73" s="633">
        <v>1100000000</v>
      </c>
      <c r="K73" s="162">
        <v>1100000000</v>
      </c>
      <c r="L73" s="126"/>
      <c r="M73" s="126"/>
      <c r="N73" s="126"/>
      <c r="O73" s="523"/>
      <c r="P73" s="126"/>
    </row>
    <row r="74" spans="2:19" s="163" customFormat="1" x14ac:dyDescent="0.25">
      <c r="B74" s="59"/>
      <c r="C74" s="119"/>
      <c r="D74" s="156"/>
      <c r="E74" s="157"/>
      <c r="F74" s="158" t="s">
        <v>46</v>
      </c>
      <c r="G74" s="159" t="s">
        <v>104</v>
      </c>
      <c r="H74" s="160"/>
      <c r="I74" s="161"/>
      <c r="J74" s="633">
        <v>1100000000</v>
      </c>
      <c r="K74" s="162">
        <v>1100000000</v>
      </c>
      <c r="L74" s="126"/>
      <c r="M74" s="126"/>
      <c r="N74" s="126"/>
      <c r="O74" s="523"/>
      <c r="P74" s="126"/>
    </row>
    <row r="75" spans="2:19" s="113" customFormat="1" ht="19.5" customHeight="1" x14ac:dyDescent="0.25">
      <c r="B75" s="59"/>
      <c r="C75" s="39"/>
      <c r="D75" s="109"/>
      <c r="E75" s="88" t="s">
        <v>210</v>
      </c>
      <c r="F75" s="1577" t="s">
        <v>105</v>
      </c>
      <c r="G75" s="1578"/>
      <c r="H75" s="165" t="s">
        <v>106</v>
      </c>
      <c r="I75" s="166">
        <v>1</v>
      </c>
      <c r="J75" s="634">
        <v>0</v>
      </c>
      <c r="K75" s="167">
        <v>0</v>
      </c>
      <c r="L75" s="168"/>
      <c r="M75" s="168"/>
      <c r="N75" s="168"/>
      <c r="O75" s="524"/>
      <c r="P75" s="168"/>
      <c r="Q75" s="113" t="s">
        <v>107</v>
      </c>
    </row>
    <row r="76" spans="2:19" s="113" customFormat="1" ht="15.75" hidden="1" customHeight="1" x14ac:dyDescent="0.25">
      <c r="B76" s="59"/>
      <c r="C76" s="119"/>
      <c r="D76" s="156"/>
      <c r="E76" s="157"/>
      <c r="F76" s="169" t="s">
        <v>46</v>
      </c>
      <c r="G76" s="170" t="s">
        <v>108</v>
      </c>
      <c r="H76" s="171"/>
      <c r="I76" s="116" t="s">
        <v>109</v>
      </c>
      <c r="J76" s="627">
        <v>17500000000</v>
      </c>
      <c r="K76" s="125">
        <v>17500000000</v>
      </c>
      <c r="L76" s="126"/>
      <c r="M76" s="126"/>
      <c r="N76" s="126"/>
      <c r="O76" s="517"/>
      <c r="P76" s="126"/>
    </row>
    <row r="77" spans="2:19" s="113" customFormat="1" ht="15.75" hidden="1" customHeight="1" x14ac:dyDescent="0.25">
      <c r="B77" s="59"/>
      <c r="C77" s="119"/>
      <c r="D77" s="156"/>
      <c r="E77" s="157"/>
      <c r="F77" s="169" t="s">
        <v>46</v>
      </c>
      <c r="G77" s="170" t="s">
        <v>110</v>
      </c>
      <c r="H77" s="171"/>
      <c r="I77" s="116" t="s">
        <v>111</v>
      </c>
      <c r="J77" s="627">
        <v>7500000000</v>
      </c>
      <c r="K77" s="125">
        <v>7500000000</v>
      </c>
      <c r="L77" s="126"/>
      <c r="M77" s="126"/>
      <c r="N77" s="126"/>
      <c r="O77" s="517"/>
      <c r="P77" s="126"/>
    </row>
    <row r="78" spans="2:19" s="113" customFormat="1" ht="15.75" hidden="1" customHeight="1" x14ac:dyDescent="0.25">
      <c r="B78" s="59"/>
      <c r="C78" s="119"/>
      <c r="D78" s="156"/>
      <c r="E78" s="157"/>
      <c r="F78" s="169" t="s">
        <v>46</v>
      </c>
      <c r="G78" s="170" t="s">
        <v>112</v>
      </c>
      <c r="H78" s="171"/>
      <c r="I78" s="116" t="s">
        <v>113</v>
      </c>
      <c r="J78" s="627">
        <v>15400000000</v>
      </c>
      <c r="K78" s="125">
        <v>15400000000</v>
      </c>
      <c r="L78" s="126"/>
      <c r="M78" s="126"/>
      <c r="N78" s="126"/>
      <c r="O78" s="517"/>
      <c r="P78" s="126"/>
    </row>
    <row r="79" spans="2:19" s="113" customFormat="1" ht="15.75" hidden="1" customHeight="1" x14ac:dyDescent="0.25">
      <c r="B79" s="59"/>
      <c r="C79" s="119"/>
      <c r="D79" s="156"/>
      <c r="E79" s="157"/>
      <c r="F79" s="169" t="s">
        <v>46</v>
      </c>
      <c r="G79" s="170" t="s">
        <v>114</v>
      </c>
      <c r="H79" s="171"/>
      <c r="I79" s="116" t="s">
        <v>115</v>
      </c>
      <c r="J79" s="627">
        <v>0</v>
      </c>
      <c r="K79" s="125">
        <v>0</v>
      </c>
      <c r="L79" s="126"/>
      <c r="M79" s="126"/>
      <c r="N79" s="126"/>
      <c r="O79" s="517"/>
      <c r="P79" s="126"/>
    </row>
    <row r="80" spans="2:19" s="113" customFormat="1" ht="15.75" hidden="1" customHeight="1" x14ac:dyDescent="0.25">
      <c r="B80" s="59"/>
      <c r="C80" s="119"/>
      <c r="D80" s="156"/>
      <c r="E80" s="157"/>
      <c r="F80" s="169" t="s">
        <v>46</v>
      </c>
      <c r="G80" s="170" t="s">
        <v>116</v>
      </c>
      <c r="H80" s="171"/>
      <c r="I80" s="116">
        <v>1</v>
      </c>
      <c r="J80" s="627">
        <v>1000000</v>
      </c>
      <c r="K80" s="125">
        <v>1000000</v>
      </c>
      <c r="L80" s="126"/>
      <c r="M80" s="126"/>
      <c r="N80" s="126"/>
      <c r="O80" s="517"/>
      <c r="P80" s="126"/>
    </row>
    <row r="81" spans="2:19" s="113" customFormat="1" ht="15.75" hidden="1" customHeight="1" x14ac:dyDescent="0.25">
      <c r="B81" s="59"/>
      <c r="C81" s="119"/>
      <c r="D81" s="156"/>
      <c r="E81" s="157"/>
      <c r="F81" s="169" t="s">
        <v>46</v>
      </c>
      <c r="G81" s="170" t="s">
        <v>117</v>
      </c>
      <c r="H81" s="171"/>
      <c r="I81" s="116">
        <v>1</v>
      </c>
      <c r="J81" s="627">
        <v>1000000</v>
      </c>
      <c r="K81" s="125">
        <v>1000000</v>
      </c>
      <c r="L81" s="126"/>
      <c r="M81" s="126"/>
      <c r="N81" s="126"/>
      <c r="O81" s="517"/>
      <c r="P81" s="126"/>
    </row>
    <row r="82" spans="2:19" s="113" customFormat="1" ht="30.75" hidden="1" customHeight="1" x14ac:dyDescent="0.25">
      <c r="B82" s="59"/>
      <c r="C82" s="119"/>
      <c r="D82" s="156"/>
      <c r="E82" s="157"/>
      <c r="F82" s="169" t="s">
        <v>46</v>
      </c>
      <c r="G82" s="170" t="s">
        <v>118</v>
      </c>
      <c r="H82" s="171"/>
      <c r="I82" s="116">
        <v>1</v>
      </c>
      <c r="J82" s="627">
        <v>1000000</v>
      </c>
      <c r="K82" s="125">
        <v>1000000</v>
      </c>
      <c r="L82" s="126"/>
      <c r="M82" s="126"/>
      <c r="N82" s="126"/>
      <c r="O82" s="517"/>
      <c r="P82" s="126"/>
    </row>
    <row r="83" spans="2:19" s="113" customFormat="1" ht="15.75" hidden="1" customHeight="1" x14ac:dyDescent="0.25">
      <c r="B83" s="59"/>
      <c r="C83" s="119"/>
      <c r="D83" s="156"/>
      <c r="E83" s="157"/>
      <c r="F83" s="169" t="s">
        <v>46</v>
      </c>
      <c r="G83" s="170" t="s">
        <v>119</v>
      </c>
      <c r="H83" s="171"/>
      <c r="I83" s="116">
        <v>1</v>
      </c>
      <c r="J83" s="627">
        <v>1000000</v>
      </c>
      <c r="K83" s="125">
        <v>1000000</v>
      </c>
      <c r="L83" s="126"/>
      <c r="M83" s="126"/>
      <c r="N83" s="126"/>
      <c r="O83" s="517"/>
      <c r="P83" s="126"/>
    </row>
    <row r="84" spans="2:19" s="113" customFormat="1" ht="15.75" hidden="1" customHeight="1" x14ac:dyDescent="0.25">
      <c r="B84" s="59"/>
      <c r="C84" s="119"/>
      <c r="D84" s="156"/>
      <c r="E84" s="157"/>
      <c r="F84" s="169" t="s">
        <v>46</v>
      </c>
      <c r="G84" s="170" t="s">
        <v>120</v>
      </c>
      <c r="H84" s="171"/>
      <c r="I84" s="116">
        <v>1</v>
      </c>
      <c r="J84" s="627">
        <v>1000000</v>
      </c>
      <c r="K84" s="125">
        <v>1000000</v>
      </c>
      <c r="L84" s="126"/>
      <c r="M84" s="126"/>
      <c r="N84" s="126"/>
      <c r="O84" s="517"/>
      <c r="P84" s="126"/>
    </row>
    <row r="85" spans="2:19" s="113" customFormat="1" ht="30.75" hidden="1" customHeight="1" x14ac:dyDescent="0.25">
      <c r="B85" s="59"/>
      <c r="C85" s="119"/>
      <c r="D85" s="156"/>
      <c r="E85" s="157"/>
      <c r="F85" s="169" t="s">
        <v>46</v>
      </c>
      <c r="G85" s="170" t="s">
        <v>121</v>
      </c>
      <c r="H85" s="171"/>
      <c r="I85" s="116">
        <v>1</v>
      </c>
      <c r="J85" s="627">
        <v>1000000</v>
      </c>
      <c r="K85" s="125">
        <v>1000000</v>
      </c>
      <c r="L85" s="126"/>
      <c r="M85" s="126"/>
      <c r="N85" s="126"/>
      <c r="O85" s="517"/>
      <c r="P85" s="126"/>
    </row>
    <row r="86" spans="2:19" s="113" customFormat="1" ht="30.75" hidden="1" customHeight="1" x14ac:dyDescent="0.25">
      <c r="B86" s="59"/>
      <c r="C86" s="119"/>
      <c r="D86" s="156"/>
      <c r="E86" s="157"/>
      <c r="F86" s="169" t="s">
        <v>46</v>
      </c>
      <c r="G86" s="170" t="s">
        <v>122</v>
      </c>
      <c r="H86" s="171"/>
      <c r="I86" s="116">
        <v>1</v>
      </c>
      <c r="J86" s="627">
        <v>1000000</v>
      </c>
      <c r="K86" s="125">
        <v>1000000</v>
      </c>
      <c r="L86" s="126"/>
      <c r="M86" s="126"/>
      <c r="N86" s="126"/>
      <c r="O86" s="517"/>
      <c r="P86" s="126"/>
    </row>
    <row r="87" spans="2:19" s="113" customFormat="1" ht="15.75" hidden="1" customHeight="1" x14ac:dyDescent="0.25">
      <c r="B87" s="59"/>
      <c r="C87" s="119"/>
      <c r="D87" s="156"/>
      <c r="E87" s="157"/>
      <c r="F87" s="169" t="s">
        <v>46</v>
      </c>
      <c r="G87" s="170" t="s">
        <v>123</v>
      </c>
      <c r="H87" s="171"/>
      <c r="I87" s="116">
        <v>2</v>
      </c>
      <c r="J87" s="627">
        <v>1000000</v>
      </c>
      <c r="K87" s="125">
        <v>1000000</v>
      </c>
      <c r="L87" s="126"/>
      <c r="M87" s="126"/>
      <c r="N87" s="126"/>
      <c r="O87" s="517"/>
      <c r="P87" s="126"/>
    </row>
    <row r="88" spans="2:19" s="113" customFormat="1" ht="15.75" hidden="1" customHeight="1" x14ac:dyDescent="0.25">
      <c r="B88" s="59"/>
      <c r="C88" s="119"/>
      <c r="D88" s="156"/>
      <c r="E88" s="157"/>
      <c r="F88" s="169" t="s">
        <v>46</v>
      </c>
      <c r="G88" s="170" t="s">
        <v>124</v>
      </c>
      <c r="H88" s="171"/>
      <c r="I88" s="116">
        <v>1</v>
      </c>
      <c r="J88" s="627">
        <v>1000000</v>
      </c>
      <c r="K88" s="125">
        <v>1000000</v>
      </c>
      <c r="L88" s="126"/>
      <c r="M88" s="126"/>
      <c r="N88" s="126"/>
      <c r="O88" s="517"/>
      <c r="P88" s="126"/>
    </row>
    <row r="89" spans="2:19" s="113" customFormat="1" ht="21.75" hidden="1" customHeight="1" x14ac:dyDescent="0.25">
      <c r="B89" s="59"/>
      <c r="C89" s="39"/>
      <c r="D89" s="109"/>
      <c r="E89" s="88"/>
      <c r="F89" s="1577" t="s">
        <v>125</v>
      </c>
      <c r="G89" s="1578"/>
      <c r="H89" s="172" t="s">
        <v>126</v>
      </c>
      <c r="I89" s="110"/>
      <c r="J89" s="625">
        <v>0</v>
      </c>
      <c r="K89" s="111">
        <v>0</v>
      </c>
      <c r="L89" s="112"/>
      <c r="M89" s="112"/>
      <c r="N89" s="112"/>
      <c r="O89" s="516"/>
      <c r="P89" s="112"/>
    </row>
    <row r="90" spans="2:19" s="62" customFormat="1" ht="21" customHeight="1" x14ac:dyDescent="0.25">
      <c r="B90" s="59"/>
      <c r="C90" s="39"/>
      <c r="D90" s="109"/>
      <c r="E90" s="88" t="s">
        <v>439</v>
      </c>
      <c r="F90" s="1577" t="s">
        <v>127</v>
      </c>
      <c r="G90" s="1578"/>
      <c r="H90" s="173" t="s">
        <v>128</v>
      </c>
      <c r="I90" s="134" t="s">
        <v>397</v>
      </c>
      <c r="J90" s="626">
        <f>SUM(J91:J91)</f>
        <v>10000000000</v>
      </c>
      <c r="K90" s="117">
        <f>SUM(K91:K91)</f>
        <v>10000000000</v>
      </c>
      <c r="L90" s="118"/>
      <c r="M90" s="118"/>
      <c r="N90" s="118"/>
      <c r="O90" s="518"/>
      <c r="P90" s="118"/>
    </row>
    <row r="91" spans="2:19" s="113" customFormat="1" x14ac:dyDescent="0.25">
      <c r="B91" s="59"/>
      <c r="C91" s="127"/>
      <c r="D91" s="128"/>
      <c r="E91" s="115"/>
      <c r="F91" s="174" t="s">
        <v>46</v>
      </c>
      <c r="G91" s="175" t="s">
        <v>129</v>
      </c>
      <c r="H91" s="602"/>
      <c r="I91" s="176" t="s">
        <v>393</v>
      </c>
      <c r="J91" s="635">
        <v>10000000000</v>
      </c>
      <c r="K91" s="177">
        <v>10000000000</v>
      </c>
      <c r="L91" s="178"/>
      <c r="M91" s="178"/>
      <c r="N91" s="178"/>
      <c r="O91" s="525"/>
      <c r="P91" s="178"/>
    </row>
    <row r="92" spans="2:19" s="62" customFormat="1" ht="19.5" customHeight="1" x14ac:dyDescent="0.25">
      <c r="B92" s="59"/>
      <c r="C92" s="39"/>
      <c r="D92" s="109"/>
      <c r="E92" s="88" t="s">
        <v>440</v>
      </c>
      <c r="F92" s="1577" t="s">
        <v>130</v>
      </c>
      <c r="G92" s="1578"/>
      <c r="H92" s="165" t="s">
        <v>131</v>
      </c>
      <c r="I92" s="134" t="s">
        <v>398</v>
      </c>
      <c r="J92" s="626">
        <f>SUM(J93:J95)</f>
        <v>12000000000</v>
      </c>
      <c r="K92" s="117">
        <f>SUM(K93:K95)</f>
        <v>12000000000</v>
      </c>
      <c r="L92" s="118"/>
      <c r="M92" s="118"/>
      <c r="N92" s="118"/>
      <c r="O92" s="518"/>
      <c r="P92" s="118"/>
    </row>
    <row r="93" spans="2:19" s="113" customFormat="1" x14ac:dyDescent="0.25">
      <c r="B93" s="59"/>
      <c r="C93" s="127"/>
      <c r="D93" s="128"/>
      <c r="E93" s="115"/>
      <c r="F93" s="130" t="s">
        <v>46</v>
      </c>
      <c r="G93" s="180" t="s">
        <v>132</v>
      </c>
      <c r="H93" s="602"/>
      <c r="I93" s="176" t="s">
        <v>133</v>
      </c>
      <c r="J93" s="635">
        <v>4200000000</v>
      </c>
      <c r="K93" s="177">
        <v>4200000000</v>
      </c>
      <c r="L93" s="178"/>
      <c r="M93" s="178"/>
      <c r="N93" s="178"/>
      <c r="O93" s="525"/>
      <c r="P93" s="178"/>
      <c r="Q93" s="181"/>
      <c r="S93" s="181"/>
    </row>
    <row r="94" spans="2:19" s="192" customFormat="1" x14ac:dyDescent="0.25">
      <c r="B94" s="182"/>
      <c r="C94" s="183"/>
      <c r="D94" s="184"/>
      <c r="E94" s="185"/>
      <c r="F94" s="186" t="s">
        <v>46</v>
      </c>
      <c r="G94" s="187" t="s">
        <v>132</v>
      </c>
      <c r="H94" s="603"/>
      <c r="I94" s="189"/>
      <c r="J94" s="636">
        <v>1800000000</v>
      </c>
      <c r="K94" s="190">
        <v>1800000000</v>
      </c>
      <c r="L94" s="191"/>
      <c r="M94" s="191"/>
      <c r="N94" s="191"/>
      <c r="O94" s="584" t="s">
        <v>134</v>
      </c>
      <c r="P94" s="191">
        <v>1800000000</v>
      </c>
      <c r="Q94" s="193" t="s">
        <v>134</v>
      </c>
      <c r="S94" s="193"/>
    </row>
    <row r="95" spans="2:19" s="113" customFormat="1" x14ac:dyDescent="0.25">
      <c r="B95" s="59"/>
      <c r="C95" s="127"/>
      <c r="D95" s="128"/>
      <c r="E95" s="115"/>
      <c r="F95" s="130" t="s">
        <v>46</v>
      </c>
      <c r="G95" s="180" t="s">
        <v>135</v>
      </c>
      <c r="H95" s="602"/>
      <c r="I95" s="176" t="s">
        <v>133</v>
      </c>
      <c r="J95" s="635">
        <v>6000000000</v>
      </c>
      <c r="K95" s="177">
        <v>6000000000</v>
      </c>
      <c r="L95" s="178"/>
      <c r="M95" s="178"/>
      <c r="N95" s="178"/>
      <c r="O95" s="585"/>
      <c r="P95" s="178"/>
    </row>
    <row r="96" spans="2:19" s="62" customFormat="1" ht="28.5" customHeight="1" x14ac:dyDescent="0.25">
      <c r="B96" s="59"/>
      <c r="C96" s="598"/>
      <c r="D96" s="599"/>
      <c r="E96" s="697" t="s">
        <v>441</v>
      </c>
      <c r="F96" s="1546" t="s">
        <v>136</v>
      </c>
      <c r="G96" s="1547"/>
      <c r="H96" s="698" t="s">
        <v>137</v>
      </c>
      <c r="I96" s="699" t="s">
        <v>404</v>
      </c>
      <c r="J96" s="700">
        <f>SUM(J97:J100)</f>
        <v>26300000000</v>
      </c>
      <c r="K96" s="701">
        <f>SUM(K97:K100)</f>
        <v>28000000000</v>
      </c>
      <c r="L96" s="996"/>
      <c r="M96" s="996"/>
      <c r="N96" s="118"/>
      <c r="O96" s="586"/>
      <c r="P96" s="118"/>
    </row>
    <row r="97" spans="2:17" s="113" customFormat="1" x14ac:dyDescent="0.25">
      <c r="B97" s="59"/>
      <c r="C97" s="127"/>
      <c r="D97" s="128"/>
      <c r="E97" s="115"/>
      <c r="F97" s="130" t="s">
        <v>46</v>
      </c>
      <c r="G97" s="201" t="s">
        <v>138</v>
      </c>
      <c r="H97" s="602"/>
      <c r="I97" s="116" t="s">
        <v>109</v>
      </c>
      <c r="J97" s="635">
        <v>12500000000</v>
      </c>
      <c r="K97" s="177">
        <v>12500000000</v>
      </c>
      <c r="L97" s="178"/>
      <c r="M97" s="178"/>
      <c r="N97" s="178"/>
      <c r="O97" s="585"/>
      <c r="P97" s="178"/>
    </row>
    <row r="98" spans="2:17" s="113" customFormat="1" ht="12.75" customHeight="1" x14ac:dyDescent="0.25">
      <c r="B98" s="59"/>
      <c r="C98" s="127"/>
      <c r="D98" s="128"/>
      <c r="E98" s="115"/>
      <c r="F98" s="130" t="s">
        <v>46</v>
      </c>
      <c r="G98" s="201" t="s">
        <v>139</v>
      </c>
      <c r="H98" s="604"/>
      <c r="I98" s="116" t="s">
        <v>159</v>
      </c>
      <c r="J98" s="635">
        <v>5800000000</v>
      </c>
      <c r="K98" s="702">
        <f>5800000000+1700000000</f>
        <v>7500000000</v>
      </c>
      <c r="L98" s="997"/>
      <c r="M98" s="997"/>
      <c r="N98" s="178"/>
      <c r="O98" s="585"/>
      <c r="P98" s="178"/>
    </row>
    <row r="99" spans="2:17" s="113" customFormat="1" ht="15" customHeight="1" x14ac:dyDescent="0.25">
      <c r="B99" s="59"/>
      <c r="C99" s="127"/>
      <c r="D99" s="128"/>
      <c r="E99" s="115"/>
      <c r="F99" s="130" t="s">
        <v>46</v>
      </c>
      <c r="G99" s="201" t="s">
        <v>140</v>
      </c>
      <c r="H99" s="602"/>
      <c r="I99" s="116" t="s">
        <v>111</v>
      </c>
      <c r="J99" s="635">
        <v>7500000000</v>
      </c>
      <c r="K99" s="177">
        <v>7500000000</v>
      </c>
      <c r="L99" s="178"/>
      <c r="M99" s="178"/>
      <c r="N99" s="178"/>
      <c r="O99" s="585"/>
      <c r="P99" s="178"/>
    </row>
    <row r="100" spans="2:17" s="192" customFormat="1" ht="15" customHeight="1" x14ac:dyDescent="0.25">
      <c r="B100" s="182"/>
      <c r="C100" s="183"/>
      <c r="D100" s="184"/>
      <c r="E100" s="185"/>
      <c r="F100" s="186"/>
      <c r="G100" s="202" t="s">
        <v>138</v>
      </c>
      <c r="H100" s="603"/>
      <c r="I100" s="203"/>
      <c r="J100" s="636">
        <v>500000000</v>
      </c>
      <c r="K100" s="190">
        <v>500000000</v>
      </c>
      <c r="L100" s="191"/>
      <c r="M100" s="191"/>
      <c r="N100" s="191"/>
      <c r="O100" s="587" t="s">
        <v>143</v>
      </c>
      <c r="P100" s="191">
        <v>500000000</v>
      </c>
      <c r="Q100" s="192" t="s">
        <v>143</v>
      </c>
    </row>
    <row r="101" spans="2:17" s="113" customFormat="1" ht="31.5" customHeight="1" x14ac:dyDescent="0.25">
      <c r="B101" s="59"/>
      <c r="C101" s="598"/>
      <c r="D101" s="599"/>
      <c r="E101" s="697" t="s">
        <v>442</v>
      </c>
      <c r="F101" s="1546" t="s">
        <v>145</v>
      </c>
      <c r="G101" s="1547"/>
      <c r="H101" s="707" t="s">
        <v>146</v>
      </c>
      <c r="I101" s="699" t="s">
        <v>113</v>
      </c>
      <c r="J101" s="708">
        <f>SUM(J102:J110)</f>
        <v>21200000000</v>
      </c>
      <c r="K101" s="709">
        <f>SUM(K102:K110)</f>
        <v>22200000000</v>
      </c>
      <c r="L101" s="998"/>
      <c r="M101" s="998"/>
      <c r="N101" s="112"/>
      <c r="O101" s="585"/>
      <c r="P101" s="112"/>
    </row>
    <row r="102" spans="2:17" s="113" customFormat="1" ht="15.75" customHeight="1" x14ac:dyDescent="0.25">
      <c r="B102" s="59"/>
      <c r="C102" s="127"/>
      <c r="D102" s="128"/>
      <c r="E102" s="115"/>
      <c r="F102" s="130" t="s">
        <v>46</v>
      </c>
      <c r="G102" s="175" t="s">
        <v>147</v>
      </c>
      <c r="H102" s="602"/>
      <c r="I102" s="176" t="s">
        <v>111</v>
      </c>
      <c r="J102" s="635">
        <v>5000000000</v>
      </c>
      <c r="K102" s="177">
        <v>5000000000</v>
      </c>
      <c r="L102" s="178"/>
      <c r="M102" s="178"/>
      <c r="N102" s="178"/>
      <c r="O102" s="585"/>
      <c r="P102" s="178"/>
    </row>
    <row r="103" spans="2:17" s="113" customFormat="1" ht="15.75" customHeight="1" x14ac:dyDescent="0.25">
      <c r="B103" s="59"/>
      <c r="C103" s="127"/>
      <c r="D103" s="128"/>
      <c r="E103" s="115"/>
      <c r="F103" s="130" t="s">
        <v>46</v>
      </c>
      <c r="G103" s="175" t="s">
        <v>149</v>
      </c>
      <c r="H103" s="602"/>
      <c r="I103" s="176" t="s">
        <v>142</v>
      </c>
      <c r="J103" s="635">
        <v>6000000000</v>
      </c>
      <c r="K103" s="177">
        <v>6000000000</v>
      </c>
      <c r="L103" s="178"/>
      <c r="M103" s="178"/>
      <c r="N103" s="178"/>
      <c r="O103" s="585"/>
      <c r="P103" s="178"/>
    </row>
    <row r="104" spans="2:17" s="113" customFormat="1" x14ac:dyDescent="0.25">
      <c r="B104" s="59"/>
      <c r="C104" s="127"/>
      <c r="D104" s="128"/>
      <c r="E104" s="115"/>
      <c r="F104" s="174" t="s">
        <v>46</v>
      </c>
      <c r="G104" s="175" t="s">
        <v>150</v>
      </c>
      <c r="H104" s="602"/>
      <c r="I104" s="176" t="s">
        <v>399</v>
      </c>
      <c r="J104" s="635">
        <v>3000000000</v>
      </c>
      <c r="K104" s="177">
        <v>3000000000</v>
      </c>
      <c r="L104" s="178"/>
      <c r="M104" s="178"/>
      <c r="N104" s="178"/>
      <c r="O104" s="585"/>
      <c r="P104" s="178"/>
    </row>
    <row r="105" spans="2:17" s="113" customFormat="1" ht="15.75" customHeight="1" x14ac:dyDescent="0.25">
      <c r="B105" s="703"/>
      <c r="C105" s="127"/>
      <c r="D105" s="128"/>
      <c r="E105" s="129"/>
      <c r="F105" s="706" t="s">
        <v>46</v>
      </c>
      <c r="G105" s="175" t="s">
        <v>394</v>
      </c>
      <c r="H105" s="602"/>
      <c r="I105" s="176" t="s">
        <v>174</v>
      </c>
      <c r="J105" s="635">
        <v>0</v>
      </c>
      <c r="K105" s="702">
        <v>500000000</v>
      </c>
      <c r="L105" s="997"/>
      <c r="M105" s="997"/>
      <c r="N105" s="178"/>
      <c r="O105" s="585"/>
      <c r="P105" s="178"/>
    </row>
    <row r="106" spans="2:17" s="113" customFormat="1" ht="15.75" customHeight="1" x14ac:dyDescent="0.25">
      <c r="B106" s="703"/>
      <c r="C106" s="127"/>
      <c r="D106" s="128"/>
      <c r="E106" s="129"/>
      <c r="F106" s="706" t="s">
        <v>46</v>
      </c>
      <c r="G106" s="175" t="s">
        <v>484</v>
      </c>
      <c r="H106" s="602"/>
      <c r="I106" s="176" t="s">
        <v>399</v>
      </c>
      <c r="J106" s="635">
        <v>0</v>
      </c>
      <c r="K106" s="702">
        <v>500000000</v>
      </c>
      <c r="L106" s="997"/>
      <c r="M106" s="997"/>
      <c r="N106" s="178"/>
      <c r="O106" s="585"/>
      <c r="P106" s="178"/>
    </row>
    <row r="107" spans="2:17" s="192" customFormat="1" ht="15.75" customHeight="1" x14ac:dyDescent="0.25">
      <c r="B107" s="182"/>
      <c r="C107" s="183"/>
      <c r="D107" s="184"/>
      <c r="E107" s="206"/>
      <c r="F107" s="207" t="s">
        <v>46</v>
      </c>
      <c r="G107" s="208" t="s">
        <v>394</v>
      </c>
      <c r="H107" s="603"/>
      <c r="I107" s="189" t="s">
        <v>174</v>
      </c>
      <c r="J107" s="636">
        <v>1000000000</v>
      </c>
      <c r="K107" s="190">
        <v>1000000000</v>
      </c>
      <c r="L107" s="191"/>
      <c r="M107" s="191"/>
      <c r="N107" s="191"/>
      <c r="O107" s="587" t="s">
        <v>151</v>
      </c>
      <c r="P107" s="191">
        <v>1000000000</v>
      </c>
      <c r="Q107" s="192" t="s">
        <v>151</v>
      </c>
    </row>
    <row r="108" spans="2:17" s="192" customFormat="1" ht="15.75" customHeight="1" x14ac:dyDescent="0.25">
      <c r="B108" s="182"/>
      <c r="C108" s="183"/>
      <c r="D108" s="184"/>
      <c r="E108" s="206"/>
      <c r="F108" s="207" t="s">
        <v>46</v>
      </c>
      <c r="G108" s="208" t="s">
        <v>152</v>
      </c>
      <c r="H108" s="603"/>
      <c r="I108" s="189" t="s">
        <v>399</v>
      </c>
      <c r="J108" s="636">
        <f>1000000000</f>
        <v>1000000000</v>
      </c>
      <c r="K108" s="190">
        <f>1000000000</f>
        <v>1000000000</v>
      </c>
      <c r="L108" s="191"/>
      <c r="M108" s="191"/>
      <c r="N108" s="191"/>
      <c r="O108" s="587" t="s">
        <v>151</v>
      </c>
      <c r="P108" s="191">
        <v>1000000000</v>
      </c>
      <c r="Q108" s="192" t="s">
        <v>151</v>
      </c>
    </row>
    <row r="109" spans="2:17" s="192" customFormat="1" ht="15.75" customHeight="1" x14ac:dyDescent="0.25">
      <c r="B109" s="182"/>
      <c r="C109" s="183"/>
      <c r="D109" s="184"/>
      <c r="E109" s="206"/>
      <c r="F109" s="207" t="s">
        <v>46</v>
      </c>
      <c r="G109" s="208" t="s">
        <v>152</v>
      </c>
      <c r="H109" s="603"/>
      <c r="I109" s="189" t="s">
        <v>399</v>
      </c>
      <c r="J109" s="636">
        <f>2000000000</f>
        <v>2000000000</v>
      </c>
      <c r="K109" s="190">
        <f>2000000000</f>
        <v>2000000000</v>
      </c>
      <c r="L109" s="191"/>
      <c r="M109" s="191"/>
      <c r="N109" s="191"/>
      <c r="O109" s="587" t="s">
        <v>425</v>
      </c>
      <c r="P109" s="191">
        <v>2000000000</v>
      </c>
      <c r="Q109" s="192" t="s">
        <v>425</v>
      </c>
    </row>
    <row r="110" spans="2:17" s="192" customFormat="1" ht="15.75" customHeight="1" x14ac:dyDescent="0.25">
      <c r="B110" s="182"/>
      <c r="C110" s="183"/>
      <c r="D110" s="184"/>
      <c r="E110" s="206"/>
      <c r="F110" s="207" t="s">
        <v>46</v>
      </c>
      <c r="G110" s="208" t="s">
        <v>153</v>
      </c>
      <c r="H110" s="603"/>
      <c r="I110" s="189" t="s">
        <v>399</v>
      </c>
      <c r="J110" s="636">
        <v>3200000000</v>
      </c>
      <c r="K110" s="190">
        <v>3200000000</v>
      </c>
      <c r="L110" s="191"/>
      <c r="M110" s="191"/>
      <c r="N110" s="191"/>
      <c r="O110" s="587" t="s">
        <v>154</v>
      </c>
      <c r="P110" s="191">
        <v>3200000000</v>
      </c>
      <c r="Q110" s="192" t="s">
        <v>154</v>
      </c>
    </row>
    <row r="111" spans="2:17" s="62" customFormat="1" ht="26.25" customHeight="1" x14ac:dyDescent="0.25">
      <c r="B111" s="59"/>
      <c r="C111" s="39"/>
      <c r="D111" s="109"/>
      <c r="E111" s="88" t="s">
        <v>443</v>
      </c>
      <c r="F111" s="1579" t="s">
        <v>155</v>
      </c>
      <c r="G111" s="1580"/>
      <c r="H111" s="173" t="s">
        <v>156</v>
      </c>
      <c r="I111" s="200" t="s">
        <v>141</v>
      </c>
      <c r="J111" s="626">
        <f>SUM(J112:J113)</f>
        <v>13500000000</v>
      </c>
      <c r="K111" s="117">
        <f>SUM(K112:K113)</f>
        <v>13500000000</v>
      </c>
      <c r="L111" s="118"/>
      <c r="M111" s="118"/>
      <c r="N111" s="118"/>
      <c r="O111" s="586"/>
      <c r="P111" s="118"/>
    </row>
    <row r="112" spans="2:17" s="113" customFormat="1" ht="13.5" customHeight="1" x14ac:dyDescent="0.25">
      <c r="B112" s="59"/>
      <c r="C112" s="127"/>
      <c r="D112" s="128"/>
      <c r="E112" s="115"/>
      <c r="F112" s="174" t="s">
        <v>46</v>
      </c>
      <c r="G112" s="175" t="s">
        <v>157</v>
      </c>
      <c r="H112" s="602"/>
      <c r="I112" s="116" t="s">
        <v>111</v>
      </c>
      <c r="J112" s="635">
        <v>7500000000</v>
      </c>
      <c r="K112" s="177">
        <v>7500000000</v>
      </c>
      <c r="L112" s="178"/>
      <c r="M112" s="178"/>
      <c r="N112" s="178"/>
      <c r="O112" s="585"/>
      <c r="P112" s="178"/>
    </row>
    <row r="113" spans="2:17" s="133" customFormat="1" x14ac:dyDescent="0.25">
      <c r="B113" s="59"/>
      <c r="C113" s="194"/>
      <c r="D113" s="195"/>
      <c r="E113" s="204"/>
      <c r="F113" s="196" t="s">
        <v>46</v>
      </c>
      <c r="G113" s="209" t="s">
        <v>158</v>
      </c>
      <c r="H113" s="605"/>
      <c r="I113" s="205" t="s">
        <v>111</v>
      </c>
      <c r="J113" s="637">
        <v>6000000000</v>
      </c>
      <c r="K113" s="198">
        <v>6000000000</v>
      </c>
      <c r="L113" s="199"/>
      <c r="M113" s="199"/>
      <c r="N113" s="199"/>
      <c r="O113" s="588"/>
      <c r="P113" s="199"/>
    </row>
    <row r="114" spans="2:17" s="62" customFormat="1" ht="24.75" customHeight="1" x14ac:dyDescent="0.25">
      <c r="B114" s="59"/>
      <c r="C114" s="39"/>
      <c r="D114" s="109"/>
      <c r="E114" s="88" t="s">
        <v>444</v>
      </c>
      <c r="F114" s="1577" t="s">
        <v>160</v>
      </c>
      <c r="G114" s="1578"/>
      <c r="H114" s="165" t="s">
        <v>161</v>
      </c>
      <c r="I114" s="200" t="s">
        <v>400</v>
      </c>
      <c r="J114" s="630">
        <f>SUM(J115:J118)</f>
        <v>14450000000</v>
      </c>
      <c r="K114" s="146">
        <f>SUM(K115:K118)</f>
        <v>14450000000</v>
      </c>
      <c r="L114" s="147"/>
      <c r="M114" s="147"/>
      <c r="N114" s="147"/>
      <c r="O114" s="586"/>
      <c r="P114" s="118"/>
    </row>
    <row r="115" spans="2:17" s="113" customFormat="1" ht="15.75" customHeight="1" x14ac:dyDescent="0.25">
      <c r="B115" s="59"/>
      <c r="C115" s="127"/>
      <c r="D115" s="128"/>
      <c r="E115" s="448"/>
      <c r="F115" s="174" t="s">
        <v>46</v>
      </c>
      <c r="G115" s="139" t="s">
        <v>162</v>
      </c>
      <c r="H115" s="602"/>
      <c r="I115" s="176" t="s">
        <v>148</v>
      </c>
      <c r="J115" s="635">
        <v>7500000000</v>
      </c>
      <c r="K115" s="177">
        <v>7500000000</v>
      </c>
      <c r="L115" s="178"/>
      <c r="M115" s="178"/>
      <c r="N115" s="178"/>
      <c r="O115" s="585"/>
      <c r="P115" s="178"/>
    </row>
    <row r="116" spans="2:17" s="113" customFormat="1" ht="15.75" customHeight="1" x14ac:dyDescent="0.25">
      <c r="B116" s="59"/>
      <c r="C116" s="127"/>
      <c r="D116" s="128"/>
      <c r="E116" s="115"/>
      <c r="F116" s="174" t="s">
        <v>46</v>
      </c>
      <c r="G116" s="139" t="s">
        <v>163</v>
      </c>
      <c r="H116" s="602"/>
      <c r="I116" s="176" t="s">
        <v>111</v>
      </c>
      <c r="J116" s="635">
        <v>3000000000</v>
      </c>
      <c r="K116" s="177">
        <v>3000000000</v>
      </c>
      <c r="L116" s="178"/>
      <c r="M116" s="178"/>
      <c r="N116" s="178"/>
      <c r="O116" s="585"/>
      <c r="P116" s="178"/>
    </row>
    <row r="117" spans="2:17" s="133" customFormat="1" ht="27" customHeight="1" x14ac:dyDescent="0.25">
      <c r="B117" s="59"/>
      <c r="C117" s="194"/>
      <c r="D117" s="195"/>
      <c r="E117" s="204"/>
      <c r="F117" s="210" t="s">
        <v>46</v>
      </c>
      <c r="G117" s="211" t="s">
        <v>164</v>
      </c>
      <c r="H117" s="605"/>
      <c r="I117" s="197" t="s">
        <v>165</v>
      </c>
      <c r="J117" s="637">
        <v>3500000000</v>
      </c>
      <c r="K117" s="198">
        <v>3500000000</v>
      </c>
      <c r="L117" s="199"/>
      <c r="M117" s="199"/>
      <c r="N117" s="199"/>
      <c r="O117" s="588"/>
      <c r="P117" s="199"/>
    </row>
    <row r="118" spans="2:17" s="192" customFormat="1" ht="18" customHeight="1" x14ac:dyDescent="0.25">
      <c r="B118" s="182"/>
      <c r="C118" s="183"/>
      <c r="D118" s="184"/>
      <c r="E118" s="206"/>
      <c r="F118" s="212"/>
      <c r="G118" s="213" t="s">
        <v>162</v>
      </c>
      <c r="H118" s="603"/>
      <c r="I118" s="189" t="s">
        <v>395</v>
      </c>
      <c r="J118" s="636">
        <v>450000000</v>
      </c>
      <c r="K118" s="190">
        <v>450000000</v>
      </c>
      <c r="L118" s="191"/>
      <c r="M118" s="191"/>
      <c r="N118" s="191"/>
      <c r="O118" s="587" t="s">
        <v>166</v>
      </c>
      <c r="P118" s="191">
        <v>450000000</v>
      </c>
      <c r="Q118" s="192" t="s">
        <v>166</v>
      </c>
    </row>
    <row r="119" spans="2:17" s="62" customFormat="1" ht="27" customHeight="1" x14ac:dyDescent="0.25">
      <c r="B119" s="59"/>
      <c r="C119" s="598"/>
      <c r="D119" s="599"/>
      <c r="E119" s="697" t="s">
        <v>445</v>
      </c>
      <c r="F119" s="1546" t="s">
        <v>167</v>
      </c>
      <c r="G119" s="1547"/>
      <c r="H119" s="698" t="s">
        <v>168</v>
      </c>
      <c r="I119" s="710" t="s">
        <v>405</v>
      </c>
      <c r="J119" s="711">
        <f>SUM(J120:J124)</f>
        <v>11065000000</v>
      </c>
      <c r="K119" s="712">
        <f>SUM(K120:K124)</f>
        <v>11565000000</v>
      </c>
      <c r="L119" s="999"/>
      <c r="M119" s="999"/>
      <c r="N119" s="147"/>
      <c r="O119" s="589"/>
      <c r="P119" s="118"/>
      <c r="Q119" s="179"/>
    </row>
    <row r="120" spans="2:17" s="113" customFormat="1" x14ac:dyDescent="0.25">
      <c r="B120" s="59"/>
      <c r="C120" s="127"/>
      <c r="D120" s="128"/>
      <c r="E120" s="115"/>
      <c r="F120" s="174" t="s">
        <v>46</v>
      </c>
      <c r="G120" s="175" t="s">
        <v>150</v>
      </c>
      <c r="H120" s="602"/>
      <c r="I120" s="116" t="s">
        <v>159</v>
      </c>
      <c r="J120" s="635">
        <v>4000000000</v>
      </c>
      <c r="K120" s="177">
        <v>4000000000</v>
      </c>
      <c r="L120" s="178"/>
      <c r="M120" s="178"/>
      <c r="N120" s="178"/>
      <c r="O120" s="585"/>
      <c r="P120" s="178"/>
    </row>
    <row r="121" spans="2:17" s="113" customFormat="1" x14ac:dyDescent="0.25">
      <c r="B121" s="59"/>
      <c r="C121" s="127"/>
      <c r="D121" s="128"/>
      <c r="E121" s="115"/>
      <c r="F121" s="174" t="s">
        <v>46</v>
      </c>
      <c r="G121" s="175" t="s">
        <v>169</v>
      </c>
      <c r="H121" s="602"/>
      <c r="I121" s="116" t="s">
        <v>148</v>
      </c>
      <c r="J121" s="635">
        <v>6000000000</v>
      </c>
      <c r="K121" s="177">
        <v>6000000000</v>
      </c>
      <c r="L121" s="178"/>
      <c r="M121" s="178"/>
      <c r="N121" s="178"/>
      <c r="O121" s="585"/>
      <c r="P121" s="178"/>
    </row>
    <row r="122" spans="2:17" s="113" customFormat="1" ht="15.75" customHeight="1" x14ac:dyDescent="0.25">
      <c r="B122" s="703"/>
      <c r="C122" s="127"/>
      <c r="D122" s="128"/>
      <c r="E122" s="129"/>
      <c r="F122" s="704" t="s">
        <v>46</v>
      </c>
      <c r="G122" s="175" t="s">
        <v>170</v>
      </c>
      <c r="H122" s="602"/>
      <c r="I122" s="705" t="s">
        <v>401</v>
      </c>
      <c r="J122" s="635">
        <v>0</v>
      </c>
      <c r="K122" s="702">
        <v>500000000</v>
      </c>
      <c r="L122" s="997"/>
      <c r="M122" s="997"/>
      <c r="N122" s="178"/>
      <c r="O122" s="585"/>
      <c r="P122" s="178"/>
    </row>
    <row r="123" spans="2:17" s="192" customFormat="1" ht="15.75" customHeight="1" x14ac:dyDescent="0.25">
      <c r="B123" s="182"/>
      <c r="C123" s="183"/>
      <c r="D123" s="184"/>
      <c r="E123" s="206"/>
      <c r="F123" s="212" t="s">
        <v>46</v>
      </c>
      <c r="G123" s="208" t="s">
        <v>170</v>
      </c>
      <c r="H123" s="603"/>
      <c r="I123" s="214" t="s">
        <v>401</v>
      </c>
      <c r="J123" s="636">
        <v>850000000</v>
      </c>
      <c r="K123" s="190">
        <v>850000000</v>
      </c>
      <c r="L123" s="191"/>
      <c r="M123" s="191"/>
      <c r="N123" s="191"/>
      <c r="O123" s="587" t="s">
        <v>134</v>
      </c>
      <c r="P123" s="191">
        <v>850000000</v>
      </c>
      <c r="Q123" s="192" t="s">
        <v>134</v>
      </c>
    </row>
    <row r="124" spans="2:17" s="192" customFormat="1" ht="15.75" customHeight="1" x14ac:dyDescent="0.25">
      <c r="B124" s="182"/>
      <c r="C124" s="183"/>
      <c r="D124" s="184"/>
      <c r="E124" s="206"/>
      <c r="F124" s="212" t="s">
        <v>46</v>
      </c>
      <c r="G124" s="208" t="s">
        <v>150</v>
      </c>
      <c r="H124" s="603"/>
      <c r="I124" s="215" t="s">
        <v>402</v>
      </c>
      <c r="J124" s="636">
        <v>215000000</v>
      </c>
      <c r="K124" s="190">
        <v>215000000</v>
      </c>
      <c r="L124" s="191"/>
      <c r="M124" s="191"/>
      <c r="N124" s="191"/>
      <c r="O124" s="587" t="s">
        <v>171</v>
      </c>
      <c r="P124" s="191">
        <v>215000000</v>
      </c>
      <c r="Q124" s="192" t="s">
        <v>171</v>
      </c>
    </row>
    <row r="125" spans="2:17" s="62" customFormat="1" ht="31.5" customHeight="1" x14ac:dyDescent="0.25">
      <c r="B125" s="59"/>
      <c r="C125" s="39"/>
      <c r="D125" s="109"/>
      <c r="E125" s="88" t="s">
        <v>446</v>
      </c>
      <c r="F125" s="1577" t="s">
        <v>172</v>
      </c>
      <c r="G125" s="1578"/>
      <c r="H125" s="173" t="s">
        <v>173</v>
      </c>
      <c r="I125" s="200" t="str">
        <f>I126</f>
        <v>0,5 Km</v>
      </c>
      <c r="J125" s="630">
        <f>J126</f>
        <v>3000000000</v>
      </c>
      <c r="K125" s="146">
        <f>K126</f>
        <v>3000000000</v>
      </c>
      <c r="L125" s="147"/>
      <c r="M125" s="147"/>
      <c r="N125" s="147"/>
      <c r="O125" s="586"/>
      <c r="P125" s="118"/>
    </row>
    <row r="126" spans="2:17" s="113" customFormat="1" x14ac:dyDescent="0.25">
      <c r="B126" s="59"/>
      <c r="C126" s="127"/>
      <c r="D126" s="128"/>
      <c r="E126" s="115"/>
      <c r="F126" s="130" t="s">
        <v>46</v>
      </c>
      <c r="G126" s="175" t="s">
        <v>175</v>
      </c>
      <c r="H126" s="602"/>
      <c r="I126" s="176" t="s">
        <v>144</v>
      </c>
      <c r="J126" s="627">
        <v>3000000000</v>
      </c>
      <c r="K126" s="125">
        <v>3000000000</v>
      </c>
      <c r="L126" s="126"/>
      <c r="M126" s="126"/>
      <c r="N126" s="126"/>
      <c r="O126" s="585"/>
      <c r="P126" s="126"/>
    </row>
    <row r="127" spans="2:17" s="113" customFormat="1" ht="29.25" customHeight="1" x14ac:dyDescent="0.25">
      <c r="B127" s="59"/>
      <c r="C127" s="39"/>
      <c r="D127" s="109"/>
      <c r="E127" s="88" t="s">
        <v>447</v>
      </c>
      <c r="F127" s="1577" t="s">
        <v>176</v>
      </c>
      <c r="G127" s="1578"/>
      <c r="H127" s="173" t="s">
        <v>177</v>
      </c>
      <c r="I127" s="200" t="str">
        <f>I128</f>
        <v>0,9 Km</v>
      </c>
      <c r="J127" s="625">
        <f>SUM(J128)</f>
        <v>5000000000</v>
      </c>
      <c r="K127" s="111">
        <f>SUM(K128)</f>
        <v>5000000000</v>
      </c>
      <c r="L127" s="112"/>
      <c r="M127" s="112"/>
      <c r="N127" s="112"/>
      <c r="O127" s="585"/>
      <c r="P127" s="112"/>
    </row>
    <row r="128" spans="2:17" s="113" customFormat="1" ht="15.75" customHeight="1" x14ac:dyDescent="0.25">
      <c r="B128" s="59"/>
      <c r="C128" s="127"/>
      <c r="D128" s="128"/>
      <c r="E128" s="216"/>
      <c r="F128" s="130" t="s">
        <v>46</v>
      </c>
      <c r="G128" s="175" t="s">
        <v>178</v>
      </c>
      <c r="H128" s="602"/>
      <c r="I128" s="217" t="s">
        <v>396</v>
      </c>
      <c r="J128" s="638">
        <v>5000000000</v>
      </c>
      <c r="K128" s="218">
        <v>5000000000</v>
      </c>
      <c r="L128" s="219"/>
      <c r="M128" s="219"/>
      <c r="N128" s="219"/>
      <c r="O128" s="585"/>
      <c r="P128" s="493"/>
    </row>
    <row r="129" spans="2:19" s="113" customFormat="1" ht="24" customHeight="1" x14ac:dyDescent="0.25">
      <c r="B129" s="59"/>
      <c r="C129" s="39"/>
      <c r="D129" s="109"/>
      <c r="E129" s="88" t="s">
        <v>389</v>
      </c>
      <c r="F129" s="1577" t="s">
        <v>179</v>
      </c>
      <c r="G129" s="1578"/>
      <c r="H129" s="173" t="s">
        <v>180</v>
      </c>
      <c r="I129" s="200" t="str">
        <f>I130</f>
        <v>1,1 Km</v>
      </c>
      <c r="J129" s="625">
        <f>SUM(J130)</f>
        <v>12000000000</v>
      </c>
      <c r="K129" s="111">
        <f>SUM(K130)</f>
        <v>12000000000</v>
      </c>
      <c r="L129" s="112"/>
      <c r="M129" s="112"/>
      <c r="N129" s="112"/>
      <c r="O129" s="585"/>
      <c r="P129" s="112"/>
    </row>
    <row r="130" spans="2:19" s="113" customFormat="1" ht="13.5" customHeight="1" x14ac:dyDescent="0.25">
      <c r="B130" s="59"/>
      <c r="C130" s="127"/>
      <c r="D130" s="128"/>
      <c r="E130" s="115"/>
      <c r="F130" s="130" t="s">
        <v>46</v>
      </c>
      <c r="G130" s="220" t="s">
        <v>468</v>
      </c>
      <c r="H130" s="602"/>
      <c r="I130" s="176" t="s">
        <v>406</v>
      </c>
      <c r="J130" s="635">
        <v>12000000000</v>
      </c>
      <c r="K130" s="177">
        <v>12000000000</v>
      </c>
      <c r="L130" s="178"/>
      <c r="M130" s="178"/>
      <c r="N130" s="178"/>
      <c r="O130" s="585"/>
      <c r="P130" s="178"/>
    </row>
    <row r="131" spans="2:19" s="62" customFormat="1" ht="27.75" customHeight="1" x14ac:dyDescent="0.25">
      <c r="B131" s="59"/>
      <c r="C131" s="39"/>
      <c r="D131" s="109"/>
      <c r="E131" s="88" t="s">
        <v>448</v>
      </c>
      <c r="F131" s="1577" t="s">
        <v>181</v>
      </c>
      <c r="G131" s="1578"/>
      <c r="H131" s="173" t="s">
        <v>182</v>
      </c>
      <c r="I131" s="200" t="s">
        <v>462</v>
      </c>
      <c r="J131" s="626">
        <f>SUM(J132:J135)</f>
        <v>8700000000</v>
      </c>
      <c r="K131" s="117">
        <f>SUM(K132:K135)</f>
        <v>8700000000</v>
      </c>
      <c r="L131" s="118"/>
      <c r="M131" s="118"/>
      <c r="N131" s="118"/>
      <c r="O131" s="589"/>
      <c r="P131" s="118"/>
      <c r="Q131" s="179"/>
    </row>
    <row r="132" spans="2:19" s="113" customFormat="1" x14ac:dyDescent="0.25">
      <c r="B132" s="59"/>
      <c r="C132" s="127"/>
      <c r="D132" s="128"/>
      <c r="E132" s="115"/>
      <c r="F132" s="174" t="s">
        <v>46</v>
      </c>
      <c r="G132" s="175" t="s">
        <v>424</v>
      </c>
      <c r="H132" s="602"/>
      <c r="I132" s="176" t="s">
        <v>451</v>
      </c>
      <c r="J132" s="635">
        <v>3000000000</v>
      </c>
      <c r="K132" s="177">
        <v>3000000000</v>
      </c>
      <c r="L132" s="178"/>
      <c r="M132" s="178"/>
      <c r="N132" s="178"/>
      <c r="O132" s="585"/>
      <c r="P132" s="178"/>
    </row>
    <row r="133" spans="2:19" s="113" customFormat="1" x14ac:dyDescent="0.25">
      <c r="B133" s="59"/>
      <c r="C133" s="127"/>
      <c r="D133" s="128"/>
      <c r="E133" s="115"/>
      <c r="F133" s="174" t="s">
        <v>46</v>
      </c>
      <c r="G133" s="175" t="s">
        <v>183</v>
      </c>
      <c r="H133" s="602"/>
      <c r="I133" s="483" t="s">
        <v>395</v>
      </c>
      <c r="J133" s="635">
        <v>500000000</v>
      </c>
      <c r="K133" s="177">
        <v>500000000</v>
      </c>
      <c r="L133" s="178"/>
      <c r="M133" s="178"/>
      <c r="N133" s="178"/>
      <c r="O133" s="585"/>
      <c r="P133" s="178"/>
    </row>
    <row r="134" spans="2:19" s="192" customFormat="1" x14ac:dyDescent="0.25">
      <c r="B134" s="59"/>
      <c r="C134" s="183"/>
      <c r="D134" s="184"/>
      <c r="E134" s="206"/>
      <c r="F134" s="221" t="s">
        <v>46</v>
      </c>
      <c r="G134" s="208" t="s">
        <v>183</v>
      </c>
      <c r="H134" s="603"/>
      <c r="I134" s="203" t="s">
        <v>159</v>
      </c>
      <c r="J134" s="636">
        <v>4000000000</v>
      </c>
      <c r="K134" s="190">
        <v>4000000000</v>
      </c>
      <c r="L134" s="191"/>
      <c r="M134" s="191"/>
      <c r="N134" s="191"/>
      <c r="O134" s="587" t="s">
        <v>184</v>
      </c>
      <c r="P134" s="191">
        <v>4000000000</v>
      </c>
      <c r="Q134" s="192" t="s">
        <v>184</v>
      </c>
    </row>
    <row r="135" spans="2:19" s="192" customFormat="1" x14ac:dyDescent="0.25">
      <c r="B135" s="182"/>
      <c r="C135" s="183"/>
      <c r="D135" s="184"/>
      <c r="E135" s="222"/>
      <c r="F135" s="223" t="s">
        <v>46</v>
      </c>
      <c r="G135" s="208" t="s">
        <v>183</v>
      </c>
      <c r="H135" s="606"/>
      <c r="I135" s="478" t="s">
        <v>174</v>
      </c>
      <c r="J135" s="636">
        <v>1200000000</v>
      </c>
      <c r="K135" s="190">
        <v>1200000000</v>
      </c>
      <c r="L135" s="191"/>
      <c r="M135" s="191"/>
      <c r="N135" s="191"/>
      <c r="O135" s="587" t="s">
        <v>185</v>
      </c>
      <c r="P135" s="191">
        <v>1200000000</v>
      </c>
      <c r="Q135" s="192" t="s">
        <v>185</v>
      </c>
    </row>
    <row r="136" spans="2:19" s="29" customFormat="1" ht="26.25" customHeight="1" x14ac:dyDescent="0.25">
      <c r="B136" s="13"/>
      <c r="C136" s="39"/>
      <c r="D136" s="109"/>
      <c r="E136" s="88" t="s">
        <v>449</v>
      </c>
      <c r="F136" s="1579" t="s">
        <v>186</v>
      </c>
      <c r="G136" s="1580"/>
      <c r="H136" s="173" t="s">
        <v>187</v>
      </c>
      <c r="I136" s="224" t="s">
        <v>463</v>
      </c>
      <c r="J136" s="630">
        <f>SUM(J137:J140)</f>
        <v>11500000000</v>
      </c>
      <c r="K136" s="146">
        <f>SUM(K137:K140)</f>
        <v>11500000000</v>
      </c>
      <c r="L136" s="147"/>
      <c r="M136" s="147"/>
      <c r="N136" s="147"/>
      <c r="O136" s="590"/>
      <c r="P136" s="118"/>
    </row>
    <row r="137" spans="2:19" s="113" customFormat="1" ht="15.75" customHeight="1" x14ac:dyDescent="0.25">
      <c r="B137" s="59"/>
      <c r="C137" s="127"/>
      <c r="D137" s="128"/>
      <c r="E137" s="115"/>
      <c r="F137" s="225" t="s">
        <v>46</v>
      </c>
      <c r="G137" s="139" t="s">
        <v>423</v>
      </c>
      <c r="H137" s="602"/>
      <c r="I137" s="176" t="s">
        <v>111</v>
      </c>
      <c r="J137" s="639">
        <v>2000000000</v>
      </c>
      <c r="K137" s="226">
        <v>2000000000</v>
      </c>
      <c r="L137" s="227"/>
      <c r="M137" s="227"/>
      <c r="N137" s="227"/>
      <c r="O137" s="585"/>
      <c r="P137" s="126"/>
    </row>
    <row r="138" spans="2:19" s="113" customFormat="1" ht="15" customHeight="1" x14ac:dyDescent="0.25">
      <c r="B138" s="59"/>
      <c r="C138" s="127"/>
      <c r="D138" s="128"/>
      <c r="E138" s="115"/>
      <c r="F138" s="130" t="s">
        <v>46</v>
      </c>
      <c r="G138" s="201" t="s">
        <v>140</v>
      </c>
      <c r="H138" s="602"/>
      <c r="I138" s="116" t="s">
        <v>141</v>
      </c>
      <c r="J138" s="635">
        <v>7500000000</v>
      </c>
      <c r="K138" s="177">
        <v>7500000000</v>
      </c>
      <c r="L138" s="178"/>
      <c r="M138" s="178"/>
      <c r="N138" s="178"/>
      <c r="O138" s="585"/>
      <c r="P138" s="178"/>
    </row>
    <row r="139" spans="2:19" s="192" customFormat="1" ht="15" customHeight="1" x14ac:dyDescent="0.25">
      <c r="B139" s="182"/>
      <c r="C139" s="183"/>
      <c r="D139" s="184"/>
      <c r="E139" s="185"/>
      <c r="F139" s="186"/>
      <c r="G139" s="202" t="s">
        <v>188</v>
      </c>
      <c r="H139" s="603"/>
      <c r="I139" s="203" t="s">
        <v>144</v>
      </c>
      <c r="J139" s="636">
        <f>1000000000</f>
        <v>1000000000</v>
      </c>
      <c r="K139" s="190">
        <f>1000000000</f>
        <v>1000000000</v>
      </c>
      <c r="L139" s="191"/>
      <c r="M139" s="191"/>
      <c r="N139" s="191"/>
      <c r="O139" s="587" t="s">
        <v>421</v>
      </c>
      <c r="P139" s="191">
        <v>1000000000</v>
      </c>
      <c r="Q139" s="192" t="s">
        <v>421</v>
      </c>
    </row>
    <row r="140" spans="2:19" s="192" customFormat="1" ht="15" customHeight="1" x14ac:dyDescent="0.25">
      <c r="B140" s="182"/>
      <c r="C140" s="183"/>
      <c r="D140" s="184"/>
      <c r="E140" s="185"/>
      <c r="F140" s="186"/>
      <c r="G140" s="202" t="s">
        <v>188</v>
      </c>
      <c r="H140" s="603"/>
      <c r="I140" s="203" t="s">
        <v>144</v>
      </c>
      <c r="J140" s="636">
        <f>1000000000</f>
        <v>1000000000</v>
      </c>
      <c r="K140" s="190">
        <f>1000000000</f>
        <v>1000000000</v>
      </c>
      <c r="L140" s="191"/>
      <c r="M140" s="191"/>
      <c r="N140" s="191"/>
      <c r="O140" s="587" t="s">
        <v>422</v>
      </c>
      <c r="P140" s="191">
        <v>1000000000</v>
      </c>
      <c r="Q140" s="192" t="s">
        <v>422</v>
      </c>
    </row>
    <row r="141" spans="2:19" ht="3.75" customHeight="1" x14ac:dyDescent="0.25">
      <c r="C141" s="471"/>
      <c r="D141" s="375"/>
      <c r="E141" s="96"/>
      <c r="F141" s="472"/>
      <c r="G141" s="473"/>
      <c r="H141" s="474"/>
      <c r="I141" s="475"/>
      <c r="J141" s="640"/>
      <c r="K141" s="476"/>
      <c r="L141" s="1000"/>
      <c r="M141" s="1000"/>
      <c r="N141" s="228"/>
      <c r="O141" s="594"/>
      <c r="P141" s="494"/>
      <c r="Q141" s="229"/>
      <c r="S141" s="230"/>
    </row>
    <row r="142" spans="2:19" s="15" customFormat="1" ht="22.5" customHeight="1" x14ac:dyDescent="0.25">
      <c r="B142" s="13"/>
      <c r="C142" s="1506" t="s">
        <v>452</v>
      </c>
      <c r="D142" s="1507"/>
      <c r="E142" s="1558" t="s">
        <v>189</v>
      </c>
      <c r="F142" s="1559"/>
      <c r="G142" s="1560"/>
      <c r="H142" s="231" t="s">
        <v>190</v>
      </c>
      <c r="I142" s="232"/>
      <c r="J142" s="641">
        <f>J143+J144+J145+J146+J150+J151+J152+J153+J154+J155+J156+J160+J161+J162+J163+J164+J165+J166</f>
        <v>61485840000</v>
      </c>
      <c r="K142" s="233">
        <f>K143+K144+K145+K146+K150+K151+K152+K153+K154+K155+K156+K160+K161+K162+K163+K164+K165+K166</f>
        <v>58285840000</v>
      </c>
      <c r="L142" s="1001"/>
      <c r="M142" s="1001"/>
      <c r="N142" s="26"/>
      <c r="O142" s="596"/>
      <c r="P142" s="495"/>
      <c r="Q142" s="234"/>
      <c r="R142" s="21"/>
    </row>
    <row r="143" spans="2:19" s="29" customFormat="1" ht="18" customHeight="1" x14ac:dyDescent="0.25">
      <c r="B143" s="13"/>
      <c r="C143" s="49"/>
      <c r="D143" s="79"/>
      <c r="E143" s="77" t="s">
        <v>5</v>
      </c>
      <c r="F143" s="1575" t="s">
        <v>191</v>
      </c>
      <c r="G143" s="1576"/>
      <c r="H143" s="235" t="s">
        <v>192</v>
      </c>
      <c r="I143" s="236" t="s">
        <v>471</v>
      </c>
      <c r="J143" s="642">
        <v>2135760000</v>
      </c>
      <c r="K143" s="237">
        <v>2135760000</v>
      </c>
      <c r="L143" s="238"/>
      <c r="M143" s="238"/>
      <c r="N143" s="238"/>
      <c r="O143" s="595"/>
      <c r="P143" s="496"/>
      <c r="Q143" s="148"/>
    </row>
    <row r="144" spans="2:19" s="29" customFormat="1" ht="21" customHeight="1" x14ac:dyDescent="0.25">
      <c r="B144" s="13"/>
      <c r="C144" s="49"/>
      <c r="D144" s="79"/>
      <c r="E144" s="77" t="s">
        <v>10</v>
      </c>
      <c r="F144" s="1569" t="s">
        <v>193</v>
      </c>
      <c r="G144" s="1570"/>
      <c r="H144" s="235" t="s">
        <v>194</v>
      </c>
      <c r="I144" s="236" t="s">
        <v>403</v>
      </c>
      <c r="J144" s="642">
        <v>2422200000</v>
      </c>
      <c r="K144" s="237">
        <v>2422200000</v>
      </c>
      <c r="L144" s="238"/>
      <c r="M144" s="238"/>
      <c r="N144" s="238"/>
      <c r="O144" s="591"/>
      <c r="P144" s="496"/>
      <c r="Q144" s="63"/>
      <c r="R144" s="28"/>
    </row>
    <row r="145" spans="2:19" s="29" customFormat="1" ht="24.75" customHeight="1" x14ac:dyDescent="0.25">
      <c r="B145" s="13"/>
      <c r="C145" s="39"/>
      <c r="D145" s="140"/>
      <c r="E145" s="109" t="s">
        <v>13</v>
      </c>
      <c r="F145" s="1569" t="s">
        <v>195</v>
      </c>
      <c r="G145" s="1570"/>
      <c r="H145" s="239" t="s">
        <v>196</v>
      </c>
      <c r="I145" s="240" t="s">
        <v>472</v>
      </c>
      <c r="J145" s="643">
        <v>2632740000</v>
      </c>
      <c r="K145" s="241">
        <v>2632740000</v>
      </c>
      <c r="L145" s="238"/>
      <c r="M145" s="238"/>
      <c r="N145" s="238"/>
      <c r="O145" s="591"/>
      <c r="P145" s="496"/>
      <c r="Q145" s="63"/>
      <c r="R145" s="242"/>
    </row>
    <row r="146" spans="2:19" s="29" customFormat="1" ht="29.25" customHeight="1" x14ac:dyDescent="0.25">
      <c r="B146" s="13"/>
      <c r="C146" s="39"/>
      <c r="D146" s="140"/>
      <c r="E146" s="109" t="s">
        <v>16</v>
      </c>
      <c r="F146" s="1569" t="s">
        <v>197</v>
      </c>
      <c r="G146" s="1570"/>
      <c r="H146" s="239" t="s">
        <v>198</v>
      </c>
      <c r="I146" s="240" t="s">
        <v>199</v>
      </c>
      <c r="J146" s="643">
        <f>SUM(J147:J149)</f>
        <v>3884440000</v>
      </c>
      <c r="K146" s="241">
        <f>SUM(K147:K149)</f>
        <v>3884440000</v>
      </c>
      <c r="L146" s="238"/>
      <c r="M146" s="238"/>
      <c r="N146" s="238"/>
      <c r="O146" s="589"/>
      <c r="P146" s="496"/>
      <c r="Q146" s="179"/>
    </row>
    <row r="147" spans="2:19" s="306" customFormat="1" ht="16.5" customHeight="1" x14ac:dyDescent="0.25">
      <c r="B147" s="461"/>
      <c r="C147" s="462"/>
      <c r="D147" s="463"/>
      <c r="E147" s="341"/>
      <c r="F147" s="464" t="s">
        <v>46</v>
      </c>
      <c r="G147" s="460" t="s">
        <v>197</v>
      </c>
      <c r="H147" s="465"/>
      <c r="I147" s="466"/>
      <c r="J147" s="644">
        <v>2684440000</v>
      </c>
      <c r="K147" s="467">
        <v>2684440000</v>
      </c>
      <c r="L147" s="1002"/>
      <c r="M147" s="1002"/>
      <c r="N147" s="468"/>
      <c r="O147" s="585"/>
      <c r="P147" s="497"/>
      <c r="Q147" s="113"/>
    </row>
    <row r="148" spans="2:19" s="252" customFormat="1" ht="29.25" customHeight="1" x14ac:dyDescent="0.25">
      <c r="B148" s="243"/>
      <c r="C148" s="244"/>
      <c r="D148" s="245"/>
      <c r="E148" s="246"/>
      <c r="F148" s="247" t="s">
        <v>46</v>
      </c>
      <c r="G148" s="248" t="s">
        <v>337</v>
      </c>
      <c r="H148" s="249"/>
      <c r="I148" s="250"/>
      <c r="J148" s="645">
        <v>200000000</v>
      </c>
      <c r="K148" s="446">
        <v>200000000</v>
      </c>
      <c r="L148" s="1003"/>
      <c r="M148" s="1003"/>
      <c r="N148" s="251"/>
      <c r="O148" s="587" t="s">
        <v>338</v>
      </c>
      <c r="P148" s="498">
        <v>200000000</v>
      </c>
      <c r="Q148" s="192" t="s">
        <v>338</v>
      </c>
    </row>
    <row r="149" spans="2:19" s="252" customFormat="1" ht="25.5" x14ac:dyDescent="0.25">
      <c r="B149" s="243"/>
      <c r="C149" s="253"/>
      <c r="D149" s="184"/>
      <c r="E149" s="254"/>
      <c r="F149" s="255" t="s">
        <v>46</v>
      </c>
      <c r="G149" s="256" t="s">
        <v>200</v>
      </c>
      <c r="H149" s="257"/>
      <c r="I149" s="258"/>
      <c r="J149" s="646">
        <f>1000000000</f>
        <v>1000000000</v>
      </c>
      <c r="K149" s="259">
        <f>1000000000</f>
        <v>1000000000</v>
      </c>
      <c r="L149" s="260"/>
      <c r="M149" s="260"/>
      <c r="N149" s="260"/>
      <c r="O149" s="592" t="s">
        <v>420</v>
      </c>
      <c r="P149" s="499">
        <v>1000000000</v>
      </c>
      <c r="Q149" s="261" t="s">
        <v>420</v>
      </c>
      <c r="S149" s="261"/>
    </row>
    <row r="150" spans="2:19" s="29" customFormat="1" ht="31.5" customHeight="1" x14ac:dyDescent="0.25">
      <c r="B150" s="13"/>
      <c r="C150" s="39"/>
      <c r="D150" s="140"/>
      <c r="E150" s="109" t="s">
        <v>19</v>
      </c>
      <c r="F150" s="1569" t="s">
        <v>391</v>
      </c>
      <c r="G150" s="1570"/>
      <c r="H150" s="239" t="s">
        <v>201</v>
      </c>
      <c r="I150" s="240" t="s">
        <v>474</v>
      </c>
      <c r="J150" s="643">
        <v>2770240000</v>
      </c>
      <c r="K150" s="241">
        <v>2770240000</v>
      </c>
      <c r="L150" s="238"/>
      <c r="M150" s="238"/>
      <c r="N150" s="238"/>
      <c r="O150" s="526"/>
      <c r="P150" s="496"/>
    </row>
    <row r="151" spans="2:19" s="29" customFormat="1" ht="30.75" customHeight="1" x14ac:dyDescent="0.25">
      <c r="B151" s="13"/>
      <c r="C151" s="39"/>
      <c r="D151" s="140"/>
      <c r="E151" s="109" t="s">
        <v>27</v>
      </c>
      <c r="F151" s="1569" t="s">
        <v>202</v>
      </c>
      <c r="G151" s="1570"/>
      <c r="H151" s="239" t="s">
        <v>203</v>
      </c>
      <c r="I151" s="240" t="s">
        <v>475</v>
      </c>
      <c r="J151" s="643">
        <v>1778480000</v>
      </c>
      <c r="K151" s="241">
        <v>1778480000</v>
      </c>
      <c r="L151" s="238"/>
      <c r="M151" s="238"/>
      <c r="N151" s="238"/>
      <c r="O151" s="526"/>
      <c r="P151" s="496"/>
    </row>
    <row r="152" spans="2:19" s="29" customFormat="1" ht="18" customHeight="1" x14ac:dyDescent="0.25">
      <c r="B152" s="13"/>
      <c r="C152" s="39"/>
      <c r="D152" s="140"/>
      <c r="E152" s="109" t="s">
        <v>30</v>
      </c>
      <c r="F152" s="1569" t="s">
        <v>204</v>
      </c>
      <c r="G152" s="1570"/>
      <c r="H152" s="239" t="s">
        <v>205</v>
      </c>
      <c r="I152" s="240" t="s">
        <v>476</v>
      </c>
      <c r="J152" s="643">
        <v>2292620000</v>
      </c>
      <c r="K152" s="241">
        <v>2292620000</v>
      </c>
      <c r="L152" s="238"/>
      <c r="M152" s="238"/>
      <c r="N152" s="238"/>
      <c r="O152" s="526"/>
      <c r="P152" s="496"/>
    </row>
    <row r="153" spans="2:19" s="29" customFormat="1" ht="19.5" customHeight="1" x14ac:dyDescent="0.25">
      <c r="B153" s="13"/>
      <c r="C153" s="39"/>
      <c r="D153" s="140"/>
      <c r="E153" s="109" t="s">
        <v>8</v>
      </c>
      <c r="F153" s="1569" t="s">
        <v>206</v>
      </c>
      <c r="G153" s="1570"/>
      <c r="H153" s="239" t="s">
        <v>207</v>
      </c>
      <c r="I153" s="240" t="s">
        <v>477</v>
      </c>
      <c r="J153" s="643">
        <v>2560360000</v>
      </c>
      <c r="K153" s="241">
        <v>2560360000</v>
      </c>
      <c r="L153" s="238"/>
      <c r="M153" s="238"/>
      <c r="N153" s="238"/>
      <c r="O153" s="526"/>
      <c r="P153" s="496"/>
    </row>
    <row r="154" spans="2:19" s="29" customFormat="1" ht="31.5" customHeight="1" x14ac:dyDescent="0.25">
      <c r="B154" s="13"/>
      <c r="C154" s="39"/>
      <c r="D154" s="140"/>
      <c r="E154" s="109" t="s">
        <v>22</v>
      </c>
      <c r="F154" s="1569" t="s">
        <v>208</v>
      </c>
      <c r="G154" s="1570"/>
      <c r="H154" s="239" t="s">
        <v>209</v>
      </c>
      <c r="I154" s="240" t="s">
        <v>478</v>
      </c>
      <c r="J154" s="643">
        <v>3006520000</v>
      </c>
      <c r="K154" s="241">
        <v>3006520000</v>
      </c>
      <c r="L154" s="238"/>
      <c r="M154" s="238"/>
      <c r="N154" s="238"/>
      <c r="O154" s="526"/>
      <c r="P154" s="496"/>
    </row>
    <row r="155" spans="2:19" s="29" customFormat="1" ht="21" customHeight="1" x14ac:dyDescent="0.25">
      <c r="B155" s="13"/>
      <c r="C155" s="39"/>
      <c r="D155" s="140"/>
      <c r="E155" s="109" t="s">
        <v>210</v>
      </c>
      <c r="F155" s="1569" t="s">
        <v>211</v>
      </c>
      <c r="G155" s="1570"/>
      <c r="H155" s="239" t="s">
        <v>212</v>
      </c>
      <c r="I155" s="240" t="s">
        <v>473</v>
      </c>
      <c r="J155" s="643">
        <v>1980000000</v>
      </c>
      <c r="K155" s="241">
        <v>1980000000</v>
      </c>
      <c r="L155" s="238"/>
      <c r="M155" s="238"/>
      <c r="N155" s="238"/>
      <c r="O155" s="526"/>
      <c r="P155" s="496"/>
    </row>
    <row r="156" spans="2:19" s="29" customFormat="1" ht="27.75" customHeight="1" x14ac:dyDescent="0.25">
      <c r="B156" s="13"/>
      <c r="C156" s="39"/>
      <c r="D156" s="140"/>
      <c r="E156" s="109">
        <v>11</v>
      </c>
      <c r="F156" s="1569" t="s">
        <v>213</v>
      </c>
      <c r="G156" s="1570"/>
      <c r="H156" s="239" t="s">
        <v>214</v>
      </c>
      <c r="I156" s="240" t="s">
        <v>479</v>
      </c>
      <c r="J156" s="643">
        <f>SUM(J157:J159)</f>
        <v>2022480000</v>
      </c>
      <c r="K156" s="241">
        <f>SUM(K157:K159)</f>
        <v>2022480000</v>
      </c>
      <c r="L156" s="238"/>
      <c r="M156" s="238"/>
      <c r="N156" s="238"/>
      <c r="O156" s="526"/>
      <c r="P156" s="496"/>
    </row>
    <row r="157" spans="2:19" s="113" customFormat="1" ht="25.5" customHeight="1" x14ac:dyDescent="0.2">
      <c r="B157" s="262"/>
      <c r="C157" s="263"/>
      <c r="D157" s="156"/>
      <c r="E157" s="157"/>
      <c r="F157" s="264" t="s">
        <v>46</v>
      </c>
      <c r="G157" s="265" t="s">
        <v>213</v>
      </c>
      <c r="H157" s="132"/>
      <c r="I157" s="266"/>
      <c r="J157" s="635">
        <v>1272480000</v>
      </c>
      <c r="K157" s="177">
        <v>1272480000</v>
      </c>
      <c r="L157" s="178"/>
      <c r="M157" s="178"/>
      <c r="N157" s="178"/>
      <c r="O157" s="527"/>
      <c r="P157" s="178"/>
    </row>
    <row r="158" spans="2:19" s="113" customFormat="1" ht="14.25" customHeight="1" x14ac:dyDescent="0.2">
      <c r="B158" s="262"/>
      <c r="C158" s="263"/>
      <c r="D158" s="156"/>
      <c r="E158" s="157"/>
      <c r="F158" s="264" t="s">
        <v>46</v>
      </c>
      <c r="G158" s="265" t="s">
        <v>450</v>
      </c>
      <c r="H158" s="132"/>
      <c r="I158" s="266"/>
      <c r="J158" s="635">
        <v>250000000</v>
      </c>
      <c r="K158" s="177">
        <v>250000000</v>
      </c>
      <c r="L158" s="178"/>
      <c r="M158" s="178"/>
      <c r="N158" s="178"/>
      <c r="O158" s="527"/>
      <c r="P158" s="178"/>
    </row>
    <row r="159" spans="2:19" s="192" customFormat="1" ht="14.25" customHeight="1" x14ac:dyDescent="0.2">
      <c r="B159" s="267"/>
      <c r="C159" s="268"/>
      <c r="D159" s="254"/>
      <c r="E159" s="269"/>
      <c r="F159" s="255" t="s">
        <v>46</v>
      </c>
      <c r="G159" s="270" t="s">
        <v>450</v>
      </c>
      <c r="H159" s="188"/>
      <c r="I159" s="271"/>
      <c r="J159" s="636">
        <v>500000000</v>
      </c>
      <c r="K159" s="190">
        <v>500000000</v>
      </c>
      <c r="L159" s="191"/>
      <c r="M159" s="191"/>
      <c r="N159" s="191"/>
      <c r="O159" s="587" t="s">
        <v>428</v>
      </c>
      <c r="P159" s="191">
        <v>500000000</v>
      </c>
      <c r="Q159" s="192" t="s">
        <v>428</v>
      </c>
    </row>
    <row r="160" spans="2:19" s="29" customFormat="1" ht="20.25" customHeight="1" x14ac:dyDescent="0.25">
      <c r="B160" s="13"/>
      <c r="C160" s="39"/>
      <c r="D160" s="140"/>
      <c r="E160" s="109">
        <v>12</v>
      </c>
      <c r="F160" s="1569" t="s">
        <v>215</v>
      </c>
      <c r="G160" s="1570"/>
      <c r="H160" s="239" t="s">
        <v>216</v>
      </c>
      <c r="I160" s="240" t="s">
        <v>217</v>
      </c>
      <c r="J160" s="643">
        <f>500000000+300000000</f>
        <v>800000000</v>
      </c>
      <c r="K160" s="241">
        <f>500000000+300000000</f>
        <v>800000000</v>
      </c>
      <c r="L160" s="238"/>
      <c r="M160" s="238"/>
      <c r="N160" s="238"/>
      <c r="O160" s="526"/>
      <c r="P160" s="496"/>
    </row>
    <row r="161" spans="2:19" s="29" customFormat="1" ht="19.5" customHeight="1" x14ac:dyDescent="0.25">
      <c r="B161" s="13"/>
      <c r="C161" s="39"/>
      <c r="D161" s="140"/>
      <c r="E161" s="109">
        <v>13</v>
      </c>
      <c r="F161" s="1569" t="s">
        <v>218</v>
      </c>
      <c r="G161" s="1570"/>
      <c r="H161" s="239" t="s">
        <v>219</v>
      </c>
      <c r="I161" s="240" t="s">
        <v>393</v>
      </c>
      <c r="J161" s="643">
        <v>4000000000</v>
      </c>
      <c r="K161" s="241">
        <v>4000000000</v>
      </c>
      <c r="L161" s="238"/>
      <c r="M161" s="238"/>
      <c r="N161" s="238"/>
      <c r="O161" s="526"/>
      <c r="P161" s="496"/>
    </row>
    <row r="162" spans="2:19" s="29" customFormat="1" ht="24" customHeight="1" x14ac:dyDescent="0.25">
      <c r="B162" s="13"/>
      <c r="C162" s="598"/>
      <c r="D162" s="599"/>
      <c r="E162" s="684">
        <v>14</v>
      </c>
      <c r="F162" s="1571" t="s">
        <v>229</v>
      </c>
      <c r="G162" s="1572"/>
      <c r="H162" s="689" t="s">
        <v>230</v>
      </c>
      <c r="I162" s="690" t="s">
        <v>111</v>
      </c>
      <c r="J162" s="691">
        <f>2000000000-300000000</f>
        <v>1700000000</v>
      </c>
      <c r="K162" s="692">
        <v>0</v>
      </c>
      <c r="L162" s="1004"/>
      <c r="M162" s="1004"/>
      <c r="N162" s="238"/>
      <c r="O162" s="526"/>
      <c r="P162" s="496"/>
    </row>
    <row r="163" spans="2:19" s="29" customFormat="1" ht="16.5" customHeight="1" x14ac:dyDescent="0.25">
      <c r="B163" s="13"/>
      <c r="C163" s="39"/>
      <c r="D163" s="140"/>
      <c r="E163" s="55">
        <v>15</v>
      </c>
      <c r="F163" s="1569" t="s">
        <v>225</v>
      </c>
      <c r="G163" s="1570"/>
      <c r="H163" s="272" t="s">
        <v>226</v>
      </c>
      <c r="I163" s="273" t="s">
        <v>480</v>
      </c>
      <c r="J163" s="647">
        <f>11000000000</f>
        <v>11000000000</v>
      </c>
      <c r="K163" s="274">
        <f>11000000000</f>
        <v>11000000000</v>
      </c>
      <c r="L163" s="238"/>
      <c r="M163" s="238"/>
      <c r="N163" s="238"/>
      <c r="O163" s="526"/>
      <c r="P163" s="496"/>
    </row>
    <row r="164" spans="2:19" s="29" customFormat="1" ht="16.5" customHeight="1" x14ac:dyDescent="0.25">
      <c r="B164" s="13"/>
      <c r="C164" s="39"/>
      <c r="D164" s="140"/>
      <c r="E164" s="55">
        <v>16</v>
      </c>
      <c r="F164" s="1569" t="s">
        <v>227</v>
      </c>
      <c r="G164" s="1570"/>
      <c r="H164" s="272" t="s">
        <v>228</v>
      </c>
      <c r="I164" s="273" t="s">
        <v>480</v>
      </c>
      <c r="J164" s="647">
        <f>11000000000</f>
        <v>11000000000</v>
      </c>
      <c r="K164" s="274">
        <f>11000000000</f>
        <v>11000000000</v>
      </c>
      <c r="L164" s="238"/>
      <c r="M164" s="238"/>
      <c r="N164" s="238"/>
      <c r="O164" s="526"/>
      <c r="P164" s="496"/>
      <c r="R164" s="396">
        <v>1750000000</v>
      </c>
      <c r="S164" s="29">
        <f>K164/R164</f>
        <v>6.2857142857142856</v>
      </c>
    </row>
    <row r="165" spans="2:19" s="29" customFormat="1" ht="39" customHeight="1" x14ac:dyDescent="0.25">
      <c r="B165" s="13"/>
      <c r="C165" s="39"/>
      <c r="D165" s="140"/>
      <c r="E165" s="55">
        <v>17</v>
      </c>
      <c r="F165" s="1569" t="s">
        <v>223</v>
      </c>
      <c r="G165" s="1570"/>
      <c r="H165" s="272" t="s">
        <v>415</v>
      </c>
      <c r="I165" s="713" t="s">
        <v>224</v>
      </c>
      <c r="J165" s="647">
        <v>4000000000</v>
      </c>
      <c r="K165" s="274">
        <v>4000000000</v>
      </c>
      <c r="L165" s="238"/>
      <c r="M165" s="238"/>
      <c r="N165" s="238"/>
      <c r="O165" s="540"/>
      <c r="P165" s="496"/>
    </row>
    <row r="166" spans="2:19" s="29" customFormat="1" ht="46.5" customHeight="1" x14ac:dyDescent="0.25">
      <c r="B166" s="13"/>
      <c r="C166" s="598"/>
      <c r="D166" s="599"/>
      <c r="E166" s="599">
        <v>18</v>
      </c>
      <c r="F166" s="1573" t="s">
        <v>220</v>
      </c>
      <c r="G166" s="1574"/>
      <c r="H166" s="693" t="s">
        <v>221</v>
      </c>
      <c r="I166" s="694" t="s">
        <v>222</v>
      </c>
      <c r="J166" s="695">
        <v>1500000000</v>
      </c>
      <c r="K166" s="696">
        <v>0</v>
      </c>
      <c r="L166" s="1004"/>
      <c r="M166" s="1004"/>
      <c r="N166" s="238"/>
      <c r="O166" s="526"/>
      <c r="P166" s="496"/>
    </row>
    <row r="167" spans="2:19" ht="4.5" customHeight="1" x14ac:dyDescent="0.25">
      <c r="C167" s="275"/>
      <c r="D167" s="276"/>
      <c r="E167" s="276"/>
      <c r="F167" s="1540"/>
      <c r="G167" s="1541"/>
      <c r="H167" s="279"/>
      <c r="I167" s="280"/>
      <c r="J167" s="648"/>
      <c r="K167" s="281"/>
      <c r="L167" s="993"/>
      <c r="M167" s="993"/>
      <c r="N167" s="101"/>
      <c r="O167" s="528"/>
      <c r="P167" s="491"/>
    </row>
    <row r="168" spans="2:19" s="15" customFormat="1" ht="32.25" customHeight="1" x14ac:dyDescent="0.25">
      <c r="B168" s="13"/>
      <c r="C168" s="1501" t="s">
        <v>453</v>
      </c>
      <c r="D168" s="1502"/>
      <c r="E168" s="1558" t="s">
        <v>231</v>
      </c>
      <c r="F168" s="1559"/>
      <c r="G168" s="1560"/>
      <c r="H168" s="231" t="s">
        <v>232</v>
      </c>
      <c r="I168" s="282"/>
      <c r="J168" s="649">
        <f>J170+J169+J171</f>
        <v>1850000000</v>
      </c>
      <c r="K168" s="283">
        <f>K170+K169+K171</f>
        <v>1850000000</v>
      </c>
      <c r="L168" s="1005"/>
      <c r="M168" s="1005"/>
      <c r="N168" s="104"/>
      <c r="O168" s="529"/>
      <c r="P168" s="14"/>
      <c r="Q168" s="17"/>
    </row>
    <row r="169" spans="2:19" s="29" customFormat="1" ht="16.5" customHeight="1" x14ac:dyDescent="0.25">
      <c r="B169" s="13"/>
      <c r="C169" s="39"/>
      <c r="D169" s="140"/>
      <c r="E169" s="109" t="s">
        <v>5</v>
      </c>
      <c r="F169" s="1567" t="s">
        <v>233</v>
      </c>
      <c r="G169" s="1568"/>
      <c r="H169" s="284" t="s">
        <v>234</v>
      </c>
      <c r="I169" s="285">
        <v>1</v>
      </c>
      <c r="J169" s="650">
        <v>1200000000</v>
      </c>
      <c r="K169" s="286">
        <v>1200000000</v>
      </c>
      <c r="L169" s="1006"/>
      <c r="M169" s="1006"/>
      <c r="N169" s="7"/>
      <c r="O169" s="530"/>
      <c r="P169" s="976"/>
    </row>
    <row r="170" spans="2:19" s="82" customFormat="1" ht="17.25" customHeight="1" x14ac:dyDescent="0.25">
      <c r="B170" s="59"/>
      <c r="C170" s="39"/>
      <c r="D170" s="140"/>
      <c r="E170" s="109" t="s">
        <v>10</v>
      </c>
      <c r="F170" s="1565" t="s">
        <v>235</v>
      </c>
      <c r="G170" s="1566"/>
      <c r="H170" s="284" t="s">
        <v>234</v>
      </c>
      <c r="I170" s="285">
        <v>1</v>
      </c>
      <c r="J170" s="650">
        <v>350000000</v>
      </c>
      <c r="K170" s="286">
        <v>350000000</v>
      </c>
      <c r="L170" s="1006"/>
      <c r="M170" s="1006"/>
      <c r="N170" s="7"/>
      <c r="O170" s="530"/>
      <c r="P170" s="976"/>
      <c r="Q170" s="136"/>
    </row>
    <row r="171" spans="2:19" s="29" customFormat="1" ht="27.75" customHeight="1" x14ac:dyDescent="0.25">
      <c r="B171" s="13"/>
      <c r="C171" s="39"/>
      <c r="D171" s="140"/>
      <c r="E171" s="109" t="s">
        <v>13</v>
      </c>
      <c r="F171" s="1550" t="s">
        <v>236</v>
      </c>
      <c r="G171" s="1551"/>
      <c r="H171" s="297" t="s">
        <v>237</v>
      </c>
      <c r="I171" s="477">
        <v>1</v>
      </c>
      <c r="J171" s="650">
        <v>300000000</v>
      </c>
      <c r="K171" s="286">
        <v>300000000</v>
      </c>
      <c r="L171" s="1006"/>
      <c r="M171" s="1006"/>
      <c r="N171" s="7"/>
      <c r="O171" s="530"/>
      <c r="P171" s="976"/>
    </row>
    <row r="172" spans="2:19" ht="3" customHeight="1" x14ac:dyDescent="0.25">
      <c r="C172" s="275"/>
      <c r="D172" s="276"/>
      <c r="E172" s="276"/>
      <c r="F172" s="1540"/>
      <c r="G172" s="1541"/>
      <c r="H172" s="279"/>
      <c r="I172" s="289"/>
      <c r="J172" s="651"/>
      <c r="K172" s="290"/>
      <c r="L172" s="1007"/>
      <c r="M172" s="1007"/>
      <c r="O172" s="531"/>
    </row>
    <row r="173" spans="2:19" s="29" customFormat="1" ht="33.75" customHeight="1" x14ac:dyDescent="0.25">
      <c r="B173" s="13"/>
      <c r="C173" s="1506" t="s">
        <v>454</v>
      </c>
      <c r="D173" s="1507"/>
      <c r="E173" s="1558" t="s">
        <v>238</v>
      </c>
      <c r="F173" s="1559"/>
      <c r="G173" s="1560"/>
      <c r="H173" s="231" t="s">
        <v>239</v>
      </c>
      <c r="I173" s="282"/>
      <c r="J173" s="652">
        <f>J174+J179+J175+J177</f>
        <v>7000000000</v>
      </c>
      <c r="K173" s="292">
        <f>K174+K179+K175+K177</f>
        <v>7000000000</v>
      </c>
      <c r="L173" s="1008"/>
      <c r="M173" s="1008"/>
      <c r="N173" s="32"/>
      <c r="O173" s="529"/>
      <c r="P173" s="486"/>
      <c r="S173" s="145"/>
    </row>
    <row r="174" spans="2:19" s="29" customFormat="1" ht="27.75" customHeight="1" x14ac:dyDescent="0.25">
      <c r="B174" s="13"/>
      <c r="C174" s="39"/>
      <c r="D174" s="140"/>
      <c r="E174" s="77" t="s">
        <v>5</v>
      </c>
      <c r="F174" s="1567" t="s">
        <v>240</v>
      </c>
      <c r="G174" s="1568"/>
      <c r="H174" s="293" t="s">
        <v>241</v>
      </c>
      <c r="I174" s="294">
        <v>1</v>
      </c>
      <c r="J174" s="653">
        <v>500000000</v>
      </c>
      <c r="K174" s="295">
        <v>500000000</v>
      </c>
      <c r="L174" s="296"/>
      <c r="M174" s="296"/>
      <c r="N174" s="296"/>
      <c r="O174" s="532"/>
      <c r="P174" s="501"/>
      <c r="S174" s="145"/>
    </row>
    <row r="175" spans="2:19" s="29" customFormat="1" ht="23.25" customHeight="1" x14ac:dyDescent="0.25">
      <c r="B175" s="13"/>
      <c r="C175" s="39"/>
      <c r="D175" s="140"/>
      <c r="E175" s="109" t="s">
        <v>10</v>
      </c>
      <c r="F175" s="1556" t="s">
        <v>242</v>
      </c>
      <c r="G175" s="1557"/>
      <c r="H175" s="297" t="s">
        <v>243</v>
      </c>
      <c r="I175" s="298" t="s">
        <v>244</v>
      </c>
      <c r="J175" s="654">
        <f>SUM(J176:J176)</f>
        <v>300000000</v>
      </c>
      <c r="K175" s="299">
        <f>SUM(K176:K176)</f>
        <v>300000000</v>
      </c>
      <c r="L175" s="296"/>
      <c r="M175" s="296"/>
      <c r="N175" s="296"/>
      <c r="O175" s="533"/>
      <c r="P175" s="501"/>
      <c r="S175" s="145"/>
    </row>
    <row r="176" spans="2:19" s="306" customFormat="1" ht="27" customHeight="1" x14ac:dyDescent="0.25">
      <c r="B176" s="13"/>
      <c r="C176" s="300"/>
      <c r="D176" s="156"/>
      <c r="E176" s="156"/>
      <c r="F176" s="301" t="s">
        <v>46</v>
      </c>
      <c r="G176" s="302" t="s">
        <v>245</v>
      </c>
      <c r="H176" s="303"/>
      <c r="I176" s="1" t="s">
        <v>244</v>
      </c>
      <c r="J176" s="655">
        <v>300000000</v>
      </c>
      <c r="K176" s="304">
        <v>300000000</v>
      </c>
      <c r="L176" s="305"/>
      <c r="M176" s="305"/>
      <c r="N176" s="305"/>
      <c r="O176" s="534"/>
      <c r="P176" s="502"/>
      <c r="S176" s="307"/>
    </row>
    <row r="177" spans="2:19" s="29" customFormat="1" ht="25.5" customHeight="1" x14ac:dyDescent="0.25">
      <c r="B177" s="13"/>
      <c r="C177" s="39"/>
      <c r="D177" s="140"/>
      <c r="E177" s="109" t="s">
        <v>13</v>
      </c>
      <c r="F177" s="1550" t="s">
        <v>246</v>
      </c>
      <c r="G177" s="1551"/>
      <c r="H177" s="297" t="s">
        <v>247</v>
      </c>
      <c r="I177" s="298" t="s">
        <v>465</v>
      </c>
      <c r="J177" s="654">
        <f>SUM(J178:J178)</f>
        <v>6000000000</v>
      </c>
      <c r="K177" s="299">
        <f>SUM(K178:K178)</f>
        <v>6000000000</v>
      </c>
      <c r="L177" s="296"/>
      <c r="M177" s="296"/>
      <c r="N177" s="296"/>
      <c r="O177" s="533"/>
      <c r="P177" s="501"/>
      <c r="S177" s="145"/>
    </row>
    <row r="178" spans="2:19" s="306" customFormat="1" ht="24.75" customHeight="1" x14ac:dyDescent="0.25">
      <c r="B178" s="13"/>
      <c r="C178" s="300"/>
      <c r="D178" s="156"/>
      <c r="E178" s="156"/>
      <c r="F178" s="301" t="s">
        <v>46</v>
      </c>
      <c r="G178" s="302" t="s">
        <v>249</v>
      </c>
      <c r="H178" s="303"/>
      <c r="I178" s="1" t="s">
        <v>248</v>
      </c>
      <c r="J178" s="655">
        <v>6000000000</v>
      </c>
      <c r="K178" s="304">
        <v>6000000000</v>
      </c>
      <c r="L178" s="305"/>
      <c r="M178" s="305"/>
      <c r="N178" s="305"/>
      <c r="O178" s="534"/>
      <c r="P178" s="502"/>
      <c r="S178" s="307"/>
    </row>
    <row r="179" spans="2:19" s="29" customFormat="1" ht="21.75" customHeight="1" x14ac:dyDescent="0.25">
      <c r="B179" s="13"/>
      <c r="C179" s="39"/>
      <c r="D179" s="140"/>
      <c r="E179" s="109" t="s">
        <v>16</v>
      </c>
      <c r="F179" s="1556" t="s">
        <v>250</v>
      </c>
      <c r="G179" s="1557"/>
      <c r="H179" s="297" t="s">
        <v>251</v>
      </c>
      <c r="I179" s="294">
        <v>1</v>
      </c>
      <c r="J179" s="654">
        <v>200000000</v>
      </c>
      <c r="K179" s="299">
        <v>200000000</v>
      </c>
      <c r="L179" s="296"/>
      <c r="M179" s="296"/>
      <c r="N179" s="296"/>
      <c r="O179" s="532"/>
      <c r="P179" s="501"/>
      <c r="S179" s="145"/>
    </row>
    <row r="180" spans="2:19" ht="3" customHeight="1" x14ac:dyDescent="0.25">
      <c r="C180" s="275"/>
      <c r="D180" s="276"/>
      <c r="E180" s="276"/>
      <c r="F180" s="310"/>
      <c r="G180" s="287"/>
      <c r="H180" s="288"/>
      <c r="I180" s="311"/>
      <c r="J180" s="656"/>
      <c r="K180" s="312"/>
      <c r="L180" s="1009"/>
      <c r="M180" s="1009"/>
      <c r="N180" s="308"/>
      <c r="O180" s="535"/>
      <c r="P180" s="503"/>
      <c r="S180" s="230"/>
    </row>
    <row r="181" spans="2:19" s="15" customFormat="1" ht="51.75" customHeight="1" x14ac:dyDescent="0.25">
      <c r="B181" s="13"/>
      <c r="C181" s="1508" t="s">
        <v>455</v>
      </c>
      <c r="D181" s="1509"/>
      <c r="E181" s="1558" t="s">
        <v>252</v>
      </c>
      <c r="F181" s="1559"/>
      <c r="G181" s="1560"/>
      <c r="H181" s="231" t="s">
        <v>253</v>
      </c>
      <c r="I181" s="282"/>
      <c r="J181" s="649">
        <f>J182+J183+J186+J187+J188+J189</f>
        <v>3526082971</v>
      </c>
      <c r="K181" s="283">
        <f>K182+K183+K186+K187+K188+K189</f>
        <v>2750000000</v>
      </c>
      <c r="L181" s="1005"/>
      <c r="M181" s="1005"/>
      <c r="N181" s="104"/>
      <c r="O181" s="529"/>
      <c r="P181" s="14"/>
      <c r="Q181" s="16"/>
      <c r="R181" s="21">
        <v>42276082971</v>
      </c>
    </row>
    <row r="182" spans="2:19" s="343" customFormat="1" ht="23.25" customHeight="1" x14ac:dyDescent="0.25">
      <c r="B182" s="339"/>
      <c r="C182" s="683"/>
      <c r="D182" s="684"/>
      <c r="E182" s="684">
        <v>1</v>
      </c>
      <c r="F182" s="1552" t="s">
        <v>308</v>
      </c>
      <c r="G182" s="1553"/>
      <c r="H182" s="685" t="s">
        <v>309</v>
      </c>
      <c r="I182" s="686">
        <v>1</v>
      </c>
      <c r="J182" s="687">
        <f>2500000000-323917029-50000000</f>
        <v>2126082971</v>
      </c>
      <c r="K182" s="688">
        <v>600000000</v>
      </c>
      <c r="L182" s="1011"/>
      <c r="M182" s="1011"/>
      <c r="N182" s="61"/>
      <c r="O182" s="565"/>
      <c r="P182" s="489"/>
      <c r="Q182" s="344"/>
    </row>
    <row r="183" spans="2:19" s="345" customFormat="1" ht="23.25" customHeight="1" x14ac:dyDescent="0.25">
      <c r="B183" s="339"/>
      <c r="C183" s="54"/>
      <c r="D183" s="55"/>
      <c r="E183" s="55">
        <v>2</v>
      </c>
      <c r="F183" s="1550" t="s">
        <v>310</v>
      </c>
      <c r="G183" s="1551"/>
      <c r="H183" s="342" t="s">
        <v>416</v>
      </c>
      <c r="I183" s="440"/>
      <c r="J183" s="617">
        <f>J184+J185</f>
        <v>800000000</v>
      </c>
      <c r="K183" s="71">
        <f>K184+K185</f>
        <v>800000000</v>
      </c>
      <c r="L183" s="61"/>
      <c r="M183" s="61"/>
      <c r="N183" s="61"/>
      <c r="O183" s="566"/>
      <c r="P183" s="489"/>
      <c r="Q183" s="346"/>
    </row>
    <row r="184" spans="2:19" s="343" customFormat="1" ht="27" customHeight="1" x14ac:dyDescent="0.25">
      <c r="B184" s="339"/>
      <c r="C184" s="340"/>
      <c r="D184" s="341"/>
      <c r="E184" s="341"/>
      <c r="F184" s="720" t="s">
        <v>46</v>
      </c>
      <c r="G184" s="131" t="s">
        <v>311</v>
      </c>
      <c r="H184" s="342" t="s">
        <v>312</v>
      </c>
      <c r="I184" s="438"/>
      <c r="J184" s="618">
        <v>500000000</v>
      </c>
      <c r="K184" s="73">
        <v>500000000</v>
      </c>
      <c r="L184" s="67"/>
      <c r="M184" s="67"/>
      <c r="N184" s="67"/>
      <c r="O184" s="565"/>
      <c r="P184" s="490"/>
      <c r="Q184" s="344"/>
    </row>
    <row r="185" spans="2:19" s="343" customFormat="1" ht="25.5" customHeight="1" x14ac:dyDescent="0.25">
      <c r="B185" s="339"/>
      <c r="C185" s="340"/>
      <c r="D185" s="341"/>
      <c r="E185" s="341"/>
      <c r="F185" s="720" t="s">
        <v>46</v>
      </c>
      <c r="G185" s="131" t="s">
        <v>313</v>
      </c>
      <c r="H185" s="342" t="s">
        <v>314</v>
      </c>
      <c r="I185" s="438"/>
      <c r="J185" s="618">
        <v>300000000</v>
      </c>
      <c r="K185" s="73">
        <v>300000000</v>
      </c>
      <c r="L185" s="67"/>
      <c r="M185" s="67"/>
      <c r="N185" s="67"/>
      <c r="O185" s="565"/>
      <c r="P185" s="490"/>
      <c r="Q185" s="344"/>
    </row>
    <row r="186" spans="2:19" s="29" customFormat="1" ht="27" customHeight="1" x14ac:dyDescent="0.25">
      <c r="B186" s="13"/>
      <c r="C186" s="87"/>
      <c r="D186" s="109"/>
      <c r="E186" s="109">
        <v>3</v>
      </c>
      <c r="F186" s="1542" t="s">
        <v>315</v>
      </c>
      <c r="G186" s="1543"/>
      <c r="H186" s="434" t="s">
        <v>316</v>
      </c>
      <c r="I186" s="353">
        <v>1</v>
      </c>
      <c r="J186" s="660">
        <v>200000000</v>
      </c>
      <c r="K186" s="60">
        <v>200000000</v>
      </c>
      <c r="L186" s="61"/>
      <c r="M186" s="61"/>
      <c r="N186" s="61"/>
      <c r="O186" s="567"/>
      <c r="P186" s="489"/>
      <c r="Q186" s="28"/>
    </row>
    <row r="187" spans="2:19" s="29" customFormat="1" ht="34.5" customHeight="1" x14ac:dyDescent="0.25">
      <c r="B187" s="13"/>
      <c r="C187" s="714"/>
      <c r="D187" s="599"/>
      <c r="E187" s="599">
        <v>4</v>
      </c>
      <c r="F187" s="1544" t="s">
        <v>317</v>
      </c>
      <c r="G187" s="1545"/>
      <c r="H187" s="715" t="s">
        <v>318</v>
      </c>
      <c r="I187" s="716" t="s">
        <v>319</v>
      </c>
      <c r="J187" s="717">
        <v>100000000</v>
      </c>
      <c r="K187" s="718">
        <v>300000000</v>
      </c>
      <c r="L187" s="1012"/>
      <c r="M187" s="1012"/>
      <c r="N187" s="7"/>
      <c r="O187" s="568"/>
      <c r="P187" s="976"/>
      <c r="Q187" s="28"/>
    </row>
    <row r="188" spans="2:19" s="29" customFormat="1" ht="31.5" customHeight="1" x14ac:dyDescent="0.25">
      <c r="B188" s="13"/>
      <c r="C188" s="714"/>
      <c r="D188" s="599"/>
      <c r="E188" s="599">
        <v>5</v>
      </c>
      <c r="F188" s="1546" t="s">
        <v>320</v>
      </c>
      <c r="G188" s="1547"/>
      <c r="H188" s="715" t="s">
        <v>321</v>
      </c>
      <c r="I188" s="716" t="s">
        <v>319</v>
      </c>
      <c r="J188" s="717">
        <v>200000000</v>
      </c>
      <c r="K188" s="718">
        <v>600000000</v>
      </c>
      <c r="L188" s="1012"/>
      <c r="M188" s="1012"/>
      <c r="N188" s="7"/>
      <c r="O188" s="568"/>
      <c r="P188" s="976"/>
      <c r="Q188" s="28"/>
    </row>
    <row r="189" spans="2:19" s="62" customFormat="1" ht="38.25" customHeight="1" x14ac:dyDescent="0.25">
      <c r="B189" s="59"/>
      <c r="C189" s="714"/>
      <c r="D189" s="599"/>
      <c r="E189" s="599">
        <v>6</v>
      </c>
      <c r="F189" s="1544" t="s">
        <v>322</v>
      </c>
      <c r="G189" s="1545"/>
      <c r="H189" s="715" t="s">
        <v>323</v>
      </c>
      <c r="I189" s="719" t="s">
        <v>86</v>
      </c>
      <c r="J189" s="717">
        <v>100000000</v>
      </c>
      <c r="K189" s="718">
        <v>250000000</v>
      </c>
      <c r="L189" s="1012"/>
      <c r="M189" s="1012"/>
      <c r="N189" s="7"/>
      <c r="O189" s="569"/>
      <c r="P189" s="976"/>
      <c r="Q189" s="148"/>
    </row>
    <row r="190" spans="2:19" ht="3" customHeight="1" x14ac:dyDescent="0.25">
      <c r="C190" s="95"/>
      <c r="D190" s="96"/>
      <c r="E190" s="96"/>
      <c r="F190" s="1540"/>
      <c r="G190" s="1541"/>
      <c r="H190" s="355"/>
      <c r="I190" s="356"/>
      <c r="J190" s="661"/>
      <c r="K190" s="357"/>
      <c r="L190" s="1013"/>
      <c r="M190" s="1013"/>
      <c r="N190" s="358"/>
      <c r="O190" s="570"/>
      <c r="P190" s="505"/>
    </row>
    <row r="191" spans="2:19" s="15" customFormat="1" ht="25.5" customHeight="1" x14ac:dyDescent="0.25">
      <c r="B191" s="13"/>
      <c r="C191" s="1506" t="s">
        <v>456</v>
      </c>
      <c r="D191" s="1507"/>
      <c r="E191" s="1535" t="s">
        <v>326</v>
      </c>
      <c r="F191" s="1536"/>
      <c r="G191" s="1537"/>
      <c r="H191" s="359" t="s">
        <v>327</v>
      </c>
      <c r="I191" s="360"/>
      <c r="J191" s="641">
        <f>SUM(J192:J193)</f>
        <v>750000000</v>
      </c>
      <c r="K191" s="233">
        <f>SUM(K192:K193)</f>
        <v>750000000</v>
      </c>
      <c r="L191" s="1001"/>
      <c r="M191" s="1001"/>
      <c r="N191" s="26"/>
      <c r="O191" s="571"/>
      <c r="P191" s="495"/>
    </row>
    <row r="192" spans="2:19" s="29" customFormat="1" ht="28.5" customHeight="1" x14ac:dyDescent="0.25">
      <c r="B192" s="13"/>
      <c r="C192" s="39"/>
      <c r="D192" s="140"/>
      <c r="E192" s="109" t="s">
        <v>5</v>
      </c>
      <c r="F192" s="1533" t="s">
        <v>329</v>
      </c>
      <c r="G192" s="1534"/>
      <c r="H192" s="141" t="s">
        <v>330</v>
      </c>
      <c r="I192" s="142" t="s">
        <v>328</v>
      </c>
      <c r="J192" s="629">
        <v>400000000</v>
      </c>
      <c r="K192" s="143">
        <v>400000000</v>
      </c>
      <c r="L192" s="144"/>
      <c r="M192" s="144"/>
      <c r="N192" s="144"/>
      <c r="O192" s="561"/>
      <c r="P192" s="492"/>
      <c r="S192" s="145"/>
    </row>
    <row r="193" spans="2:19" s="29" customFormat="1" ht="35.25" customHeight="1" x14ac:dyDescent="0.25">
      <c r="B193" s="13"/>
      <c r="C193" s="39"/>
      <c r="D193" s="140"/>
      <c r="E193" s="109" t="s">
        <v>10</v>
      </c>
      <c r="F193" s="1533" t="s">
        <v>331</v>
      </c>
      <c r="G193" s="1534"/>
      <c r="H193" s="141" t="s">
        <v>332</v>
      </c>
      <c r="I193" s="142" t="s">
        <v>319</v>
      </c>
      <c r="J193" s="629">
        <v>350000000</v>
      </c>
      <c r="K193" s="143">
        <v>350000000</v>
      </c>
      <c r="L193" s="144"/>
      <c r="M193" s="144"/>
      <c r="N193" s="144"/>
      <c r="O193" s="561"/>
      <c r="P193" s="492"/>
      <c r="S193" s="145"/>
    </row>
    <row r="194" spans="2:19" ht="5.25" customHeight="1" x14ac:dyDescent="0.25">
      <c r="C194" s="363"/>
      <c r="D194" s="364"/>
      <c r="E194" s="276"/>
      <c r="F194" s="365"/>
      <c r="G194" s="366"/>
      <c r="H194" s="367"/>
      <c r="I194" s="368"/>
      <c r="J194" s="651"/>
      <c r="K194" s="290"/>
      <c r="L194" s="1007"/>
      <c r="M194" s="1007"/>
      <c r="O194" s="572"/>
      <c r="S194" s="230"/>
    </row>
    <row r="195" spans="2:19" s="15" customFormat="1" ht="27.75" customHeight="1" x14ac:dyDescent="0.25">
      <c r="B195" s="13"/>
      <c r="C195" s="1506" t="s">
        <v>457</v>
      </c>
      <c r="D195" s="1507"/>
      <c r="E195" s="1535" t="s">
        <v>333</v>
      </c>
      <c r="F195" s="1536"/>
      <c r="G195" s="1537"/>
      <c r="H195" s="359" t="s">
        <v>334</v>
      </c>
      <c r="I195" s="360"/>
      <c r="J195" s="641">
        <f>J196+J197</f>
        <v>2200000000</v>
      </c>
      <c r="K195" s="233">
        <f>K196+K197</f>
        <v>2976082971</v>
      </c>
      <c r="L195" s="1001"/>
      <c r="M195" s="1001"/>
      <c r="N195" s="26"/>
      <c r="O195" s="571"/>
      <c r="P195" s="495"/>
    </row>
    <row r="196" spans="2:19" s="29" customFormat="1" ht="15.75" customHeight="1" x14ac:dyDescent="0.25">
      <c r="B196" s="13"/>
      <c r="C196" s="39"/>
      <c r="D196" s="140"/>
      <c r="E196" s="109" t="s">
        <v>5</v>
      </c>
      <c r="F196" s="1538" t="s">
        <v>335</v>
      </c>
      <c r="G196" s="1539"/>
      <c r="H196" s="141" t="s">
        <v>336</v>
      </c>
      <c r="I196" s="142" t="s">
        <v>109</v>
      </c>
      <c r="J196" s="629">
        <f>2000000000</f>
        <v>2000000000</v>
      </c>
      <c r="K196" s="143">
        <f>2000000000+776082971</f>
        <v>2776082971</v>
      </c>
      <c r="L196" s="144"/>
      <c r="M196" s="144"/>
      <c r="N196" s="144"/>
      <c r="O196" s="561"/>
      <c r="P196" s="492"/>
    </row>
    <row r="197" spans="2:19" s="362" customFormat="1" ht="15.75" customHeight="1" x14ac:dyDescent="0.25">
      <c r="B197" s="13"/>
      <c r="C197" s="39"/>
      <c r="D197" s="140"/>
      <c r="E197" s="109" t="s">
        <v>10</v>
      </c>
      <c r="F197" s="1533" t="s">
        <v>339</v>
      </c>
      <c r="G197" s="1534"/>
      <c r="H197" s="141" t="s">
        <v>340</v>
      </c>
      <c r="I197" s="370" t="s">
        <v>244</v>
      </c>
      <c r="J197" s="662">
        <v>200000000</v>
      </c>
      <c r="K197" s="371">
        <v>200000000</v>
      </c>
      <c r="L197" s="144"/>
      <c r="M197" s="144"/>
      <c r="N197" s="144"/>
      <c r="O197" s="573"/>
      <c r="P197" s="492"/>
      <c r="Q197" s="361"/>
      <c r="S197" s="361"/>
    </row>
    <row r="198" spans="2:19" ht="3.75" customHeight="1" x14ac:dyDescent="0.25">
      <c r="C198" s="363"/>
      <c r="D198" s="364"/>
      <c r="E198" s="276"/>
      <c r="F198" s="365"/>
      <c r="G198" s="366"/>
      <c r="H198" s="367"/>
      <c r="I198" s="368"/>
      <c r="J198" s="651"/>
      <c r="K198" s="290"/>
      <c r="L198" s="1007"/>
      <c r="M198" s="1007"/>
      <c r="O198" s="572"/>
      <c r="S198" s="230"/>
    </row>
    <row r="199" spans="2:19" s="15" customFormat="1" ht="28.5" customHeight="1" x14ac:dyDescent="0.25">
      <c r="B199" s="13"/>
      <c r="C199" s="1506" t="s">
        <v>458</v>
      </c>
      <c r="D199" s="1507"/>
      <c r="E199" s="1535" t="s">
        <v>341</v>
      </c>
      <c r="F199" s="1536"/>
      <c r="G199" s="1537"/>
      <c r="H199" s="359" t="s">
        <v>342</v>
      </c>
      <c r="I199" s="360"/>
      <c r="J199" s="641">
        <f>SUM(J200:J204)</f>
        <v>1550000000</v>
      </c>
      <c r="K199" s="233">
        <f>SUM(K200:K204)</f>
        <v>1550000000</v>
      </c>
      <c r="L199" s="1001"/>
      <c r="M199" s="1001"/>
      <c r="N199" s="26"/>
      <c r="O199" s="571"/>
      <c r="P199" s="495"/>
    </row>
    <row r="200" spans="2:19" s="29" customFormat="1" ht="21" customHeight="1" x14ac:dyDescent="0.25">
      <c r="B200" s="13"/>
      <c r="C200" s="39"/>
      <c r="D200" s="140"/>
      <c r="E200" s="109" t="s">
        <v>5</v>
      </c>
      <c r="F200" s="1533" t="s">
        <v>343</v>
      </c>
      <c r="G200" s="1534"/>
      <c r="H200" s="172" t="s">
        <v>344</v>
      </c>
      <c r="I200" s="370" t="s">
        <v>345</v>
      </c>
      <c r="J200" s="662">
        <v>600000000</v>
      </c>
      <c r="K200" s="371">
        <v>600000000</v>
      </c>
      <c r="L200" s="144"/>
      <c r="M200" s="144"/>
      <c r="N200" s="144"/>
      <c r="O200" s="573"/>
      <c r="P200" s="492"/>
      <c r="S200" s="145"/>
    </row>
    <row r="201" spans="2:19" s="29" customFormat="1" ht="15.75" customHeight="1" x14ac:dyDescent="0.25">
      <c r="B201" s="13"/>
      <c r="C201" s="39"/>
      <c r="D201" s="140"/>
      <c r="E201" s="109" t="s">
        <v>10</v>
      </c>
      <c r="F201" s="1533" t="s">
        <v>346</v>
      </c>
      <c r="G201" s="1534"/>
      <c r="H201" s="369" t="s">
        <v>347</v>
      </c>
      <c r="I201" s="370" t="s">
        <v>348</v>
      </c>
      <c r="J201" s="662">
        <v>400000000</v>
      </c>
      <c r="K201" s="371">
        <v>400000000</v>
      </c>
      <c r="L201" s="144"/>
      <c r="M201" s="144"/>
      <c r="N201" s="144"/>
      <c r="O201" s="573"/>
      <c r="P201" s="492"/>
      <c r="S201" s="145"/>
    </row>
    <row r="202" spans="2:19" s="29" customFormat="1" ht="25.5" customHeight="1" x14ac:dyDescent="0.25">
      <c r="B202" s="13"/>
      <c r="C202" s="39"/>
      <c r="D202" s="140"/>
      <c r="E202" s="109" t="s">
        <v>13</v>
      </c>
      <c r="F202" s="1531" t="s">
        <v>349</v>
      </c>
      <c r="G202" s="1532"/>
      <c r="H202" s="141" t="s">
        <v>350</v>
      </c>
      <c r="I202" s="142" t="s">
        <v>351</v>
      </c>
      <c r="J202" s="663">
        <v>200000000</v>
      </c>
      <c r="K202" s="372">
        <v>200000000</v>
      </c>
      <c r="L202" s="373"/>
      <c r="M202" s="373"/>
      <c r="N202" s="373"/>
      <c r="O202" s="561"/>
      <c r="P202" s="492"/>
    </row>
    <row r="203" spans="2:19" s="29" customFormat="1" ht="26.25" customHeight="1" x14ac:dyDescent="0.25">
      <c r="B203" s="13"/>
      <c r="C203" s="39"/>
      <c r="D203" s="140"/>
      <c r="E203" s="109" t="s">
        <v>16</v>
      </c>
      <c r="F203" s="1533" t="s">
        <v>352</v>
      </c>
      <c r="G203" s="1534"/>
      <c r="H203" s="141" t="s">
        <v>350</v>
      </c>
      <c r="I203" s="142" t="s">
        <v>351</v>
      </c>
      <c r="J203" s="629">
        <v>200000000</v>
      </c>
      <c r="K203" s="143">
        <v>200000000</v>
      </c>
      <c r="L203" s="144"/>
      <c r="M203" s="144"/>
      <c r="N203" s="144"/>
      <c r="O203" s="561"/>
      <c r="P203" s="492"/>
      <c r="S203" s="145"/>
    </row>
    <row r="204" spans="2:19" s="29" customFormat="1" ht="15.75" customHeight="1" x14ac:dyDescent="0.25">
      <c r="B204" s="13"/>
      <c r="C204" s="39"/>
      <c r="D204" s="140"/>
      <c r="E204" s="109" t="s">
        <v>19</v>
      </c>
      <c r="F204" s="1533" t="s">
        <v>353</v>
      </c>
      <c r="G204" s="1534"/>
      <c r="H204" s="141" t="s">
        <v>354</v>
      </c>
      <c r="I204" s="142" t="s">
        <v>92</v>
      </c>
      <c r="J204" s="629">
        <v>150000000</v>
      </c>
      <c r="K204" s="143">
        <v>150000000</v>
      </c>
      <c r="L204" s="144"/>
      <c r="M204" s="144"/>
      <c r="N204" s="144"/>
      <c r="O204" s="561"/>
      <c r="P204" s="492"/>
      <c r="S204" s="145"/>
    </row>
    <row r="205" spans="2:19" s="229" customFormat="1" ht="4.5" customHeight="1" x14ac:dyDescent="0.25">
      <c r="B205" s="59"/>
      <c r="C205" s="374"/>
      <c r="D205" s="375"/>
      <c r="E205" s="375"/>
      <c r="F205" s="1527"/>
      <c r="G205" s="1528"/>
      <c r="H205" s="376"/>
      <c r="I205" s="377"/>
      <c r="J205" s="664"/>
      <c r="K205" s="378"/>
      <c r="L205" s="101"/>
      <c r="M205" s="101"/>
      <c r="N205" s="101"/>
      <c r="O205" s="574"/>
      <c r="P205" s="491"/>
      <c r="S205" s="309"/>
    </row>
    <row r="206" spans="2:19" s="15" customFormat="1" ht="37.5" customHeight="1" x14ac:dyDescent="0.25">
      <c r="B206" s="13"/>
      <c r="C206" s="1501" t="s">
        <v>459</v>
      </c>
      <c r="D206" s="1502"/>
      <c r="E206" s="1512" t="s">
        <v>355</v>
      </c>
      <c r="F206" s="1513"/>
      <c r="G206" s="1514"/>
      <c r="H206" s="231" t="s">
        <v>356</v>
      </c>
      <c r="I206" s="379"/>
      <c r="J206" s="649">
        <f>J207+J210+J212+J215+J216+J217+J219+J220</f>
        <v>5200000000</v>
      </c>
      <c r="K206" s="283">
        <f>K207+K210+K212+K215+K216+K217+K219+K220</f>
        <v>5200000000</v>
      </c>
      <c r="L206" s="1005"/>
      <c r="M206" s="1005"/>
      <c r="N206" s="104"/>
      <c r="O206" s="575"/>
      <c r="P206" s="14"/>
      <c r="Q206" s="145"/>
      <c r="S206" s="145"/>
    </row>
    <row r="207" spans="2:19" s="82" customFormat="1" ht="24.75" customHeight="1" x14ac:dyDescent="0.25">
      <c r="B207" s="59"/>
      <c r="C207" s="49"/>
      <c r="D207" s="79"/>
      <c r="E207" s="140" t="s">
        <v>5</v>
      </c>
      <c r="F207" s="1529" t="s">
        <v>357</v>
      </c>
      <c r="G207" s="1530"/>
      <c r="H207" s="380" t="s">
        <v>358</v>
      </c>
      <c r="I207" s="381" t="s">
        <v>244</v>
      </c>
      <c r="J207" s="659">
        <f>J208+J209</f>
        <v>950000000</v>
      </c>
      <c r="K207" s="331">
        <f>K208+K209</f>
        <v>950000000</v>
      </c>
      <c r="L207" s="319"/>
      <c r="M207" s="319"/>
      <c r="N207" s="319"/>
      <c r="O207" s="576"/>
      <c r="P207" s="504"/>
      <c r="Q207" s="63"/>
      <c r="S207" s="63"/>
    </row>
    <row r="208" spans="2:19" s="82" customFormat="1" ht="16.5" customHeight="1" x14ac:dyDescent="0.25">
      <c r="B208" s="59"/>
      <c r="C208" s="49"/>
      <c r="D208" s="79"/>
      <c r="E208" s="40"/>
      <c r="F208" s="382" t="s">
        <v>46</v>
      </c>
      <c r="G208" s="383" t="s">
        <v>357</v>
      </c>
      <c r="H208" s="384"/>
      <c r="I208" s="385"/>
      <c r="J208" s="665">
        <v>550000000</v>
      </c>
      <c r="K208" s="386">
        <v>550000000</v>
      </c>
      <c r="L208" s="387"/>
      <c r="M208" s="387"/>
      <c r="N208" s="387"/>
      <c r="O208" s="577"/>
      <c r="P208" s="506"/>
      <c r="Q208" s="63"/>
      <c r="S208" s="63"/>
    </row>
    <row r="209" spans="2:19" s="306" customFormat="1" x14ac:dyDescent="0.25">
      <c r="B209" s="13"/>
      <c r="C209" s="263"/>
      <c r="D209" s="388"/>
      <c r="E209" s="156"/>
      <c r="F209" s="389" t="s">
        <v>46</v>
      </c>
      <c r="G209" s="390" t="s">
        <v>359</v>
      </c>
      <c r="H209" s="391"/>
      <c r="I209" s="392"/>
      <c r="J209" s="666">
        <v>400000000</v>
      </c>
      <c r="K209" s="393">
        <v>400000000</v>
      </c>
      <c r="L209" s="387"/>
      <c r="M209" s="387"/>
      <c r="N209" s="387"/>
      <c r="O209" s="578"/>
      <c r="P209" s="506"/>
      <c r="S209" s="307"/>
    </row>
    <row r="210" spans="2:19" s="29" customFormat="1" ht="21.75" customHeight="1" x14ac:dyDescent="0.25">
      <c r="B210" s="13"/>
      <c r="C210" s="49"/>
      <c r="D210" s="79"/>
      <c r="E210" s="109" t="s">
        <v>10</v>
      </c>
      <c r="F210" s="1517" t="s">
        <v>360</v>
      </c>
      <c r="G210" s="1518"/>
      <c r="H210" s="394" t="s">
        <v>361</v>
      </c>
      <c r="I210" s="381" t="s">
        <v>244</v>
      </c>
      <c r="J210" s="667">
        <f>J211</f>
        <v>1000000000</v>
      </c>
      <c r="K210" s="395">
        <f>K211</f>
        <v>1000000000</v>
      </c>
      <c r="L210" s="319"/>
      <c r="M210" s="319"/>
      <c r="N210" s="319"/>
      <c r="O210" s="576"/>
      <c r="P210" s="504"/>
      <c r="S210" s="145"/>
    </row>
    <row r="211" spans="2:19" s="306" customFormat="1" ht="27.75" customHeight="1" x14ac:dyDescent="0.25">
      <c r="B211" s="13"/>
      <c r="C211" s="263"/>
      <c r="D211" s="388"/>
      <c r="E211" s="156"/>
      <c r="F211" s="389" t="s">
        <v>46</v>
      </c>
      <c r="G211" s="390" t="s">
        <v>362</v>
      </c>
      <c r="H211" s="391"/>
      <c r="I211" s="392"/>
      <c r="J211" s="666">
        <v>1000000000</v>
      </c>
      <c r="K211" s="393">
        <v>1000000000</v>
      </c>
      <c r="L211" s="387"/>
      <c r="M211" s="387"/>
      <c r="N211" s="387"/>
      <c r="O211" s="578"/>
      <c r="P211" s="506"/>
      <c r="Q211" s="307"/>
      <c r="S211" s="307"/>
    </row>
    <row r="212" spans="2:19" s="29" customFormat="1" ht="21.75" customHeight="1" x14ac:dyDescent="0.25">
      <c r="B212" s="13"/>
      <c r="C212" s="49"/>
      <c r="D212" s="79"/>
      <c r="E212" s="109" t="s">
        <v>13</v>
      </c>
      <c r="F212" s="1519" t="s">
        <v>363</v>
      </c>
      <c r="G212" s="1520"/>
      <c r="H212" s="394" t="s">
        <v>364</v>
      </c>
      <c r="I212" s="381" t="s">
        <v>365</v>
      </c>
      <c r="J212" s="667">
        <f>SUM(J213:J214)</f>
        <v>550000000</v>
      </c>
      <c r="K212" s="395">
        <f>SUM(K213:K214)</f>
        <v>550000000</v>
      </c>
      <c r="L212" s="319"/>
      <c r="M212" s="319"/>
      <c r="N212" s="319"/>
      <c r="O212" s="576"/>
      <c r="P212" s="504"/>
      <c r="Q212" s="396"/>
      <c r="S212" s="145"/>
    </row>
    <row r="213" spans="2:19" s="306" customFormat="1" ht="15" customHeight="1" x14ac:dyDescent="0.25">
      <c r="B213" s="13"/>
      <c r="C213" s="263"/>
      <c r="D213" s="388"/>
      <c r="E213" s="156"/>
      <c r="F213" s="397" t="s">
        <v>46</v>
      </c>
      <c r="G213" s="398" t="s">
        <v>366</v>
      </c>
      <c r="H213" s="391"/>
      <c r="I213" s="392" t="s">
        <v>244</v>
      </c>
      <c r="J213" s="666">
        <v>300000000</v>
      </c>
      <c r="K213" s="393">
        <v>300000000</v>
      </c>
      <c r="L213" s="387"/>
      <c r="M213" s="387"/>
      <c r="N213" s="387"/>
      <c r="O213" s="578"/>
      <c r="P213" s="506"/>
      <c r="S213" s="307"/>
    </row>
    <row r="214" spans="2:19" s="306" customFormat="1" ht="15" customHeight="1" x14ac:dyDescent="0.25">
      <c r="B214" s="13"/>
      <c r="C214" s="263"/>
      <c r="D214" s="388"/>
      <c r="E214" s="156"/>
      <c r="F214" s="397" t="s">
        <v>46</v>
      </c>
      <c r="G214" s="398" t="s">
        <v>367</v>
      </c>
      <c r="H214" s="391"/>
      <c r="I214" s="392" t="s">
        <v>244</v>
      </c>
      <c r="J214" s="666">
        <v>250000000</v>
      </c>
      <c r="K214" s="393">
        <v>250000000</v>
      </c>
      <c r="L214" s="387"/>
      <c r="M214" s="387"/>
      <c r="N214" s="387"/>
      <c r="O214" s="578"/>
      <c r="P214" s="506"/>
      <c r="Q214" s="307"/>
      <c r="S214" s="307"/>
    </row>
    <row r="215" spans="2:19" s="306" customFormat="1" ht="30.75" customHeight="1" x14ac:dyDescent="0.25">
      <c r="B215" s="13"/>
      <c r="C215" s="49"/>
      <c r="D215" s="79"/>
      <c r="E215" s="109" t="s">
        <v>16</v>
      </c>
      <c r="F215" s="1521" t="s">
        <v>368</v>
      </c>
      <c r="G215" s="1522"/>
      <c r="H215" s="354" t="s">
        <v>369</v>
      </c>
      <c r="I215" s="381">
        <v>0.2</v>
      </c>
      <c r="J215" s="667">
        <v>1000000000</v>
      </c>
      <c r="K215" s="395">
        <v>1000000000</v>
      </c>
      <c r="L215" s="319"/>
      <c r="M215" s="319"/>
      <c r="N215" s="319"/>
      <c r="O215" s="576"/>
      <c r="P215" s="504"/>
      <c r="S215" s="307"/>
    </row>
    <row r="216" spans="2:19" s="306" customFormat="1" ht="22.5" customHeight="1" x14ac:dyDescent="0.25">
      <c r="B216" s="13"/>
      <c r="C216" s="399"/>
      <c r="D216" s="109"/>
      <c r="E216" s="109" t="s">
        <v>19</v>
      </c>
      <c r="F216" s="1517" t="s">
        <v>371</v>
      </c>
      <c r="G216" s="1518"/>
      <c r="H216" s="394" t="s">
        <v>372</v>
      </c>
      <c r="I216" s="381" t="s">
        <v>370</v>
      </c>
      <c r="J216" s="667">
        <v>600000000</v>
      </c>
      <c r="K216" s="395">
        <v>600000000</v>
      </c>
      <c r="L216" s="319"/>
      <c r="M216" s="319"/>
      <c r="N216" s="319"/>
      <c r="O216" s="576"/>
      <c r="P216" s="504"/>
      <c r="S216" s="307"/>
    </row>
    <row r="217" spans="2:19" s="29" customFormat="1" ht="18.75" customHeight="1" x14ac:dyDescent="0.25">
      <c r="B217" s="13"/>
      <c r="C217" s="400"/>
      <c r="D217" s="77"/>
      <c r="E217" s="77" t="s">
        <v>27</v>
      </c>
      <c r="F217" s="1523" t="s">
        <v>373</v>
      </c>
      <c r="G217" s="1524"/>
      <c r="H217" s="401" t="s">
        <v>374</v>
      </c>
      <c r="I217" s="402" t="s">
        <v>370</v>
      </c>
      <c r="J217" s="659">
        <f>SUM(J218:J218)</f>
        <v>400000000</v>
      </c>
      <c r="K217" s="331">
        <f>SUM(K218:K218)</f>
        <v>400000000</v>
      </c>
      <c r="L217" s="319"/>
      <c r="M217" s="319"/>
      <c r="N217" s="319"/>
      <c r="O217" s="579"/>
      <c r="P217" s="504"/>
      <c r="S217" s="145"/>
    </row>
    <row r="218" spans="2:19" s="306" customFormat="1" ht="16.5" customHeight="1" x14ac:dyDescent="0.25">
      <c r="B218" s="13"/>
      <c r="C218" s="403"/>
      <c r="D218" s="156"/>
      <c r="E218" s="156"/>
      <c r="F218" s="404" t="s">
        <v>46</v>
      </c>
      <c r="G218" s="405" t="s">
        <v>375</v>
      </c>
      <c r="H218" s="391"/>
      <c r="I218" s="392"/>
      <c r="J218" s="666">
        <v>400000000</v>
      </c>
      <c r="K218" s="393">
        <v>400000000</v>
      </c>
      <c r="L218" s="387"/>
      <c r="M218" s="387"/>
      <c r="N218" s="387"/>
      <c r="O218" s="578"/>
      <c r="P218" s="506"/>
      <c r="S218" s="307"/>
    </row>
    <row r="219" spans="2:19" s="29" customFormat="1" ht="21" customHeight="1" x14ac:dyDescent="0.25">
      <c r="B219" s="13"/>
      <c r="C219" s="399"/>
      <c r="D219" s="109"/>
      <c r="E219" s="109" t="s">
        <v>30</v>
      </c>
      <c r="F219" s="1525" t="s">
        <v>376</v>
      </c>
      <c r="G219" s="1526"/>
      <c r="H219" s="354" t="s">
        <v>377</v>
      </c>
      <c r="I219" s="406" t="s">
        <v>370</v>
      </c>
      <c r="J219" s="668">
        <v>300000000</v>
      </c>
      <c r="K219" s="407">
        <v>300000000</v>
      </c>
      <c r="L219" s="319"/>
      <c r="M219" s="319"/>
      <c r="N219" s="319"/>
      <c r="O219" s="580"/>
      <c r="P219" s="504"/>
      <c r="S219" s="145"/>
    </row>
    <row r="220" spans="2:19" s="29" customFormat="1" ht="21" customHeight="1" x14ac:dyDescent="0.25">
      <c r="B220" s="13"/>
      <c r="C220" s="399"/>
      <c r="D220" s="109"/>
      <c r="E220" s="109" t="s">
        <v>8</v>
      </c>
      <c r="F220" s="1510" t="s">
        <v>409</v>
      </c>
      <c r="G220" s="1511"/>
      <c r="H220" s="394" t="s">
        <v>410</v>
      </c>
      <c r="I220" s="381" t="s">
        <v>370</v>
      </c>
      <c r="J220" s="669">
        <v>400000000</v>
      </c>
      <c r="K220" s="408">
        <v>400000000</v>
      </c>
      <c r="L220" s="1014"/>
      <c r="M220" s="1014"/>
      <c r="N220" s="319"/>
      <c r="O220" s="576"/>
      <c r="P220" s="504"/>
      <c r="S220" s="145"/>
    </row>
    <row r="221" spans="2:19" s="29" customFormat="1" ht="3.75" customHeight="1" x14ac:dyDescent="0.25">
      <c r="B221" s="13"/>
      <c r="C221" s="399"/>
      <c r="D221" s="109"/>
      <c r="E221" s="109"/>
      <c r="F221" s="409"/>
      <c r="G221" s="410"/>
      <c r="H221" s="354"/>
      <c r="I221" s="406"/>
      <c r="J221" s="670"/>
      <c r="K221" s="411"/>
      <c r="L221" s="1014"/>
      <c r="M221" s="1014"/>
      <c r="N221" s="319"/>
      <c r="O221" s="580"/>
      <c r="P221" s="504"/>
      <c r="S221" s="145"/>
    </row>
    <row r="222" spans="2:19" s="29" customFormat="1" ht="35.25" customHeight="1" x14ac:dyDescent="0.25">
      <c r="B222" s="13"/>
      <c r="C222" s="1501" t="s">
        <v>460</v>
      </c>
      <c r="D222" s="1502"/>
      <c r="E222" s="1512" t="s">
        <v>378</v>
      </c>
      <c r="F222" s="1513"/>
      <c r="G222" s="1514"/>
      <c r="H222" s="412" t="s">
        <v>379</v>
      </c>
      <c r="I222" s="413"/>
      <c r="J222" s="649">
        <f>J223+J224+J225</f>
        <v>500000000</v>
      </c>
      <c r="K222" s="283">
        <f>K223+K224+K225</f>
        <v>500000000</v>
      </c>
      <c r="L222" s="1005"/>
      <c r="M222" s="1005"/>
      <c r="N222" s="104"/>
      <c r="O222" s="581"/>
      <c r="P222" s="14"/>
      <c r="S222" s="145"/>
    </row>
    <row r="223" spans="2:19" s="29" customFormat="1" ht="23.25" customHeight="1" x14ac:dyDescent="0.25">
      <c r="B223" s="13"/>
      <c r="C223" s="399"/>
      <c r="D223" s="109"/>
      <c r="E223" s="109" t="s">
        <v>5</v>
      </c>
      <c r="F223" s="1515" t="s">
        <v>380</v>
      </c>
      <c r="G223" s="1516"/>
      <c r="H223" s="401" t="s">
        <v>381</v>
      </c>
      <c r="I223" s="402" t="s">
        <v>244</v>
      </c>
      <c r="J223" s="659">
        <v>175000000</v>
      </c>
      <c r="K223" s="331">
        <v>175000000</v>
      </c>
      <c r="L223" s="319"/>
      <c r="M223" s="319"/>
      <c r="N223" s="319"/>
      <c r="O223" s="579"/>
      <c r="P223" s="504"/>
      <c r="S223" s="145"/>
    </row>
    <row r="224" spans="2:19" s="29" customFormat="1" ht="27.75" customHeight="1" x14ac:dyDescent="0.25">
      <c r="B224" s="13"/>
      <c r="C224" s="399"/>
      <c r="D224" s="109"/>
      <c r="E224" s="109" t="s">
        <v>10</v>
      </c>
      <c r="F224" s="1510" t="s">
        <v>382</v>
      </c>
      <c r="G224" s="1511"/>
      <c r="H224" s="394" t="s">
        <v>383</v>
      </c>
      <c r="I224" s="381" t="s">
        <v>244</v>
      </c>
      <c r="J224" s="667">
        <v>175000000</v>
      </c>
      <c r="K224" s="395">
        <v>175000000</v>
      </c>
      <c r="L224" s="319"/>
      <c r="M224" s="319"/>
      <c r="N224" s="319"/>
      <c r="O224" s="576"/>
      <c r="P224" s="504"/>
      <c r="S224" s="145"/>
    </row>
    <row r="225" spans="2:19" s="29" customFormat="1" ht="30.75" customHeight="1" x14ac:dyDescent="0.25">
      <c r="B225" s="13"/>
      <c r="C225" s="399"/>
      <c r="D225" s="109"/>
      <c r="E225" s="109" t="s">
        <v>13</v>
      </c>
      <c r="F225" s="1510" t="s">
        <v>384</v>
      </c>
      <c r="G225" s="1511"/>
      <c r="H225" s="394" t="s">
        <v>385</v>
      </c>
      <c r="I225" s="381" t="s">
        <v>244</v>
      </c>
      <c r="J225" s="667">
        <v>150000000</v>
      </c>
      <c r="K225" s="395">
        <v>150000000</v>
      </c>
      <c r="L225" s="319"/>
      <c r="M225" s="319"/>
      <c r="N225" s="319"/>
      <c r="O225" s="576"/>
      <c r="P225" s="504"/>
      <c r="S225" s="145"/>
    </row>
    <row r="226" spans="2:19" s="29" customFormat="1" ht="16.5" hidden="1" customHeight="1" x14ac:dyDescent="0.25">
      <c r="B226" s="13"/>
      <c r="C226" s="399"/>
      <c r="D226" s="109"/>
      <c r="E226" s="109"/>
      <c r="F226" s="404" t="s">
        <v>46</v>
      </c>
      <c r="G226" s="405" t="s">
        <v>386</v>
      </c>
      <c r="H226" s="391"/>
      <c r="I226" s="392"/>
      <c r="J226" s="671">
        <v>300000000</v>
      </c>
      <c r="K226" s="414">
        <v>300000000</v>
      </c>
      <c r="L226" s="1015"/>
      <c r="M226" s="1015"/>
      <c r="N226" s="387"/>
      <c r="O226" s="578"/>
      <c r="P226" s="506"/>
      <c r="S226" s="145"/>
    </row>
    <row r="227" spans="2:19" ht="3.75" customHeight="1" x14ac:dyDescent="0.25">
      <c r="C227" s="415"/>
      <c r="D227" s="338"/>
      <c r="E227" s="338"/>
      <c r="F227" s="416"/>
      <c r="G227" s="417"/>
      <c r="H227" s="367"/>
      <c r="I227" s="418"/>
      <c r="J227" s="648"/>
      <c r="K227" s="281"/>
      <c r="L227" s="993"/>
      <c r="M227" s="993"/>
      <c r="N227" s="101"/>
      <c r="O227" s="582"/>
      <c r="P227" s="491"/>
      <c r="S227" s="230"/>
    </row>
    <row r="228" spans="2:19" s="15" customFormat="1" ht="36.75" customHeight="1" x14ac:dyDescent="0.25">
      <c r="B228" s="13"/>
      <c r="C228" s="1501" t="s">
        <v>461</v>
      </c>
      <c r="D228" s="1502"/>
      <c r="E228" s="1512" t="s">
        <v>387</v>
      </c>
      <c r="F228" s="1513"/>
      <c r="G228" s="1514"/>
      <c r="H228" s="231" t="s">
        <v>388</v>
      </c>
      <c r="I228" s="379"/>
      <c r="J228" s="649">
        <f>J229</f>
        <v>300000000</v>
      </c>
      <c r="K228" s="283">
        <f>K229</f>
        <v>300000000</v>
      </c>
      <c r="L228" s="1005"/>
      <c r="M228" s="1005"/>
      <c r="N228" s="104"/>
      <c r="O228" s="575"/>
      <c r="P228" s="14"/>
      <c r="S228" s="145"/>
    </row>
    <row r="229" spans="2:19" s="29" customFormat="1" ht="31.5" customHeight="1" x14ac:dyDescent="0.25">
      <c r="B229" s="13"/>
      <c r="C229" s="76"/>
      <c r="D229" s="77"/>
      <c r="E229" s="77" t="s">
        <v>5</v>
      </c>
      <c r="F229" s="1503" t="s">
        <v>390</v>
      </c>
      <c r="G229" s="1504"/>
      <c r="H229" s="293" t="s">
        <v>388</v>
      </c>
      <c r="I229" s="419">
        <v>1</v>
      </c>
      <c r="J229" s="659">
        <v>300000000</v>
      </c>
      <c r="K229" s="331">
        <v>300000000</v>
      </c>
      <c r="L229" s="319"/>
      <c r="M229" s="319"/>
      <c r="N229" s="319"/>
      <c r="O229" s="583"/>
      <c r="P229" s="504"/>
      <c r="S229" s="145"/>
    </row>
    <row r="230" spans="2:19" ht="3" customHeight="1" thickBot="1" x14ac:dyDescent="0.3">
      <c r="C230" s="420"/>
      <c r="D230" s="421"/>
      <c r="E230" s="421"/>
      <c r="F230" s="422"/>
      <c r="G230" s="423"/>
      <c r="H230" s="424"/>
      <c r="I230" s="425"/>
      <c r="J230" s="672"/>
      <c r="K230" s="426"/>
      <c r="L230" s="993"/>
      <c r="M230" s="993"/>
      <c r="N230" s="101"/>
      <c r="O230" s="539"/>
      <c r="P230" s="491"/>
    </row>
    <row r="231" spans="2:19" ht="13.5" thickTop="1" x14ac:dyDescent="0.25"/>
    <row r="232" spans="2:19" x14ac:dyDescent="0.25">
      <c r="J232" s="1736" t="s">
        <v>514</v>
      </c>
      <c r="K232" s="1736"/>
    </row>
    <row r="233" spans="2:19" x14ac:dyDescent="0.25">
      <c r="J233" s="1736" t="s">
        <v>515</v>
      </c>
      <c r="K233" s="1736"/>
    </row>
    <row r="234" spans="2:19" x14ac:dyDescent="0.25">
      <c r="J234" s="12"/>
      <c r="K234" s="12"/>
    </row>
    <row r="235" spans="2:19" x14ac:dyDescent="0.25">
      <c r="J235" s="12"/>
      <c r="K235" s="12"/>
    </row>
    <row r="236" spans="2:19" x14ac:dyDescent="0.25">
      <c r="J236" s="12"/>
      <c r="K236" s="12"/>
    </row>
    <row r="237" spans="2:19" x14ac:dyDescent="0.25">
      <c r="J237" s="12"/>
      <c r="K237" s="12"/>
    </row>
    <row r="238" spans="2:19" x14ac:dyDescent="0.25">
      <c r="J238" s="1737" t="s">
        <v>516</v>
      </c>
      <c r="K238" s="1737"/>
    </row>
    <row r="239" spans="2:19" x14ac:dyDescent="0.25">
      <c r="J239" s="1736" t="s">
        <v>517</v>
      </c>
      <c r="K239" s="1736"/>
    </row>
  </sheetData>
  <mergeCells count="160">
    <mergeCell ref="C2:K2"/>
    <mergeCell ref="C3:N3"/>
    <mergeCell ref="C4:N4"/>
    <mergeCell ref="C6:D6"/>
    <mergeCell ref="E6:G6"/>
    <mergeCell ref="C8:E9"/>
    <mergeCell ref="F8:G9"/>
    <mergeCell ref="H8:H9"/>
    <mergeCell ref="I8:I9"/>
    <mergeCell ref="J8:J9"/>
    <mergeCell ref="D13:G13"/>
    <mergeCell ref="E14:G14"/>
    <mergeCell ref="E15:G15"/>
    <mergeCell ref="E16:G16"/>
    <mergeCell ref="E17:G17"/>
    <mergeCell ref="E18:G18"/>
    <mergeCell ref="K8:K9"/>
    <mergeCell ref="O8:O9"/>
    <mergeCell ref="C10:E10"/>
    <mergeCell ref="F10:G10"/>
    <mergeCell ref="D11:G11"/>
    <mergeCell ref="D12:I12"/>
    <mergeCell ref="E25:G25"/>
    <mergeCell ref="E26:G26"/>
    <mergeCell ref="E27:G27"/>
    <mergeCell ref="E28:G28"/>
    <mergeCell ref="E29:G29"/>
    <mergeCell ref="F30:G30"/>
    <mergeCell ref="E19:G19"/>
    <mergeCell ref="E20:G20"/>
    <mergeCell ref="E21:G21"/>
    <mergeCell ref="E22:G22"/>
    <mergeCell ref="F23:G23"/>
    <mergeCell ref="D24:G24"/>
    <mergeCell ref="E37:G37"/>
    <mergeCell ref="E38:G38"/>
    <mergeCell ref="F39:G39"/>
    <mergeCell ref="D40:G40"/>
    <mergeCell ref="E41:G41"/>
    <mergeCell ref="E42:G42"/>
    <mergeCell ref="F31:G31"/>
    <mergeCell ref="F32:G32"/>
    <mergeCell ref="E33:G33"/>
    <mergeCell ref="F34:G34"/>
    <mergeCell ref="F35:G35"/>
    <mergeCell ref="E36:G36"/>
    <mergeCell ref="E49:G49"/>
    <mergeCell ref="E50:G50"/>
    <mergeCell ref="D52:I52"/>
    <mergeCell ref="C53:D53"/>
    <mergeCell ref="E53:G53"/>
    <mergeCell ref="F54:G54"/>
    <mergeCell ref="D43:G43"/>
    <mergeCell ref="E44:G44"/>
    <mergeCell ref="E45:G45"/>
    <mergeCell ref="D46:G46"/>
    <mergeCell ref="E47:G47"/>
    <mergeCell ref="E48:G48"/>
    <mergeCell ref="F67:G67"/>
    <mergeCell ref="F68:G68"/>
    <mergeCell ref="F75:G75"/>
    <mergeCell ref="F89:G89"/>
    <mergeCell ref="F90:G90"/>
    <mergeCell ref="F92:G92"/>
    <mergeCell ref="F55:G55"/>
    <mergeCell ref="F58:G58"/>
    <mergeCell ref="F61:G61"/>
    <mergeCell ref="F62:G62"/>
    <mergeCell ref="F65:G65"/>
    <mergeCell ref="F66:G66"/>
    <mergeCell ref="F127:G127"/>
    <mergeCell ref="F129:G129"/>
    <mergeCell ref="F131:G131"/>
    <mergeCell ref="F136:G136"/>
    <mergeCell ref="C142:D142"/>
    <mergeCell ref="E142:G142"/>
    <mergeCell ref="F96:G96"/>
    <mergeCell ref="F101:G101"/>
    <mergeCell ref="F111:G111"/>
    <mergeCell ref="F114:G114"/>
    <mergeCell ref="F119:G119"/>
    <mergeCell ref="F125:G125"/>
    <mergeCell ref="F152:G152"/>
    <mergeCell ref="F153:G153"/>
    <mergeCell ref="F154:G154"/>
    <mergeCell ref="F155:G155"/>
    <mergeCell ref="F156:G156"/>
    <mergeCell ref="F160:G160"/>
    <mergeCell ref="F143:G143"/>
    <mergeCell ref="F144:G144"/>
    <mergeCell ref="F145:G145"/>
    <mergeCell ref="F146:G146"/>
    <mergeCell ref="F150:G150"/>
    <mergeCell ref="F151:G151"/>
    <mergeCell ref="F167:G167"/>
    <mergeCell ref="C168:D168"/>
    <mergeCell ref="E168:G168"/>
    <mergeCell ref="F169:G169"/>
    <mergeCell ref="F170:G170"/>
    <mergeCell ref="F171:G171"/>
    <mergeCell ref="F161:G161"/>
    <mergeCell ref="F162:G162"/>
    <mergeCell ref="F163:G163"/>
    <mergeCell ref="F164:G164"/>
    <mergeCell ref="F165:G165"/>
    <mergeCell ref="F166:G166"/>
    <mergeCell ref="F179:G179"/>
    <mergeCell ref="C181:D181"/>
    <mergeCell ref="E181:G181"/>
    <mergeCell ref="F172:G172"/>
    <mergeCell ref="C173:D173"/>
    <mergeCell ref="E173:G173"/>
    <mergeCell ref="F174:G174"/>
    <mergeCell ref="F175:G175"/>
    <mergeCell ref="F177:G177"/>
    <mergeCell ref="F190:G190"/>
    <mergeCell ref="C191:D191"/>
    <mergeCell ref="E191:G191"/>
    <mergeCell ref="F192:G192"/>
    <mergeCell ref="F193:G193"/>
    <mergeCell ref="F182:G182"/>
    <mergeCell ref="F183:G183"/>
    <mergeCell ref="F186:G186"/>
    <mergeCell ref="F187:G187"/>
    <mergeCell ref="F188:G188"/>
    <mergeCell ref="F189:G189"/>
    <mergeCell ref="F200:G200"/>
    <mergeCell ref="F201:G201"/>
    <mergeCell ref="F202:G202"/>
    <mergeCell ref="F203:G203"/>
    <mergeCell ref="F204:G204"/>
    <mergeCell ref="F205:G205"/>
    <mergeCell ref="C195:D195"/>
    <mergeCell ref="E195:G195"/>
    <mergeCell ref="F196:G196"/>
    <mergeCell ref="F197:G197"/>
    <mergeCell ref="C199:D199"/>
    <mergeCell ref="E199:G199"/>
    <mergeCell ref="F216:G216"/>
    <mergeCell ref="F217:G217"/>
    <mergeCell ref="F219:G219"/>
    <mergeCell ref="F220:G220"/>
    <mergeCell ref="C222:D222"/>
    <mergeCell ref="E222:G222"/>
    <mergeCell ref="C206:D206"/>
    <mergeCell ref="E206:G206"/>
    <mergeCell ref="F207:G207"/>
    <mergeCell ref="F210:G210"/>
    <mergeCell ref="F212:G212"/>
    <mergeCell ref="F215:G215"/>
    <mergeCell ref="J232:K232"/>
    <mergeCell ref="J233:K233"/>
    <mergeCell ref="J238:K238"/>
    <mergeCell ref="J239:K239"/>
    <mergeCell ref="F223:G223"/>
    <mergeCell ref="F224:G224"/>
    <mergeCell ref="F225:G225"/>
    <mergeCell ref="C228:D228"/>
    <mergeCell ref="E228:G228"/>
    <mergeCell ref="F229:G229"/>
  </mergeCells>
  <printOptions horizontalCentered="1"/>
  <pageMargins left="0.43307086614173229" right="0.43307086614173229" top="0.59055118110236227" bottom="0.39370078740157483" header="0" footer="0"/>
  <pageSetup paperSize="258" scale="78" fitToHeight="0" orientation="landscape" useFirstPageNumber="1" r:id="rId1"/>
  <headerFooter>
    <oddFooter>&amp;L&amp;"Cambria,Italic"&amp;7&amp;K05-049&amp;F / &amp;A&amp;C&amp;"Cambria,Italic"&amp;7&amp;K04-021Hal &amp;P dari &amp;N&amp;R&amp;"-,Italic"&amp;7&amp;K09-022&amp;D / &amp;T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2:S54"/>
  <sheetViews>
    <sheetView view="pageBreakPreview" topLeftCell="A23" zoomScale="70" zoomScaleNormal="85" zoomScaleSheetLayoutView="70" workbookViewId="0">
      <selection activeCell="E44" sqref="E44"/>
    </sheetView>
  </sheetViews>
  <sheetFormatPr defaultRowHeight="12.75" x14ac:dyDescent="0.25"/>
  <cols>
    <col min="1" max="1" width="9" style="53" customWidth="1"/>
    <col min="2" max="2" width="0.5703125" style="13" customWidth="1"/>
    <col min="3" max="3" width="3.28515625" style="427" customWidth="1"/>
    <col min="4" max="4" width="4.140625" style="428" customWidth="1"/>
    <col min="5" max="5" width="3.5703125" style="428" customWidth="1"/>
    <col min="6" max="6" width="2.7109375" style="428" customWidth="1"/>
    <col min="7" max="7" width="56.7109375" style="429" customWidth="1"/>
    <col min="8" max="8" width="52" style="430" customWidth="1"/>
    <col min="9" max="9" width="9.85546875" style="431" customWidth="1"/>
    <col min="10" max="10" width="21.42578125" style="432" customWidth="1"/>
    <col min="11" max="11" width="22.140625" style="432" customWidth="1"/>
    <col min="12" max="12" width="20.140625" style="432" hidden="1" customWidth="1"/>
    <col min="13" max="13" width="22.140625" style="432" hidden="1" customWidth="1"/>
    <col min="14" max="14" width="0.5703125" style="291" customWidth="1"/>
    <col min="15" max="15" width="17.5703125" style="431" customWidth="1"/>
    <col min="16" max="16" width="4.85546875" style="500" customWidth="1"/>
    <col min="17" max="19" width="14.140625" style="53" customWidth="1"/>
    <col min="20" max="28" width="10.5703125" style="53" customWidth="1"/>
    <col min="29" max="234" width="9.140625" style="53"/>
    <col min="235" max="235" width="1.7109375" style="53" customWidth="1"/>
    <col min="236" max="237" width="4.7109375" style="53" customWidth="1"/>
    <col min="238" max="238" width="54.140625" style="53" customWidth="1"/>
    <col min="239" max="239" width="52" style="53" customWidth="1"/>
    <col min="240" max="240" width="5.28515625" style="53" customWidth="1"/>
    <col min="241" max="241" width="5.85546875" style="53" bestFit="1" customWidth="1"/>
    <col min="242" max="242" width="16.42578125" style="53" customWidth="1"/>
    <col min="243" max="243" width="4.5703125" style="53" customWidth="1"/>
    <col min="244" max="244" width="14.140625" style="53" customWidth="1"/>
    <col min="245" max="245" width="27.140625" style="53" customWidth="1"/>
    <col min="246" max="246" width="16.28515625" style="53" customWidth="1"/>
    <col min="247" max="247" width="13.85546875" style="53" customWidth="1"/>
    <col min="248" max="490" width="9.140625" style="53"/>
    <col min="491" max="491" width="1.7109375" style="53" customWidth="1"/>
    <col min="492" max="493" width="4.7109375" style="53" customWidth="1"/>
    <col min="494" max="494" width="54.140625" style="53" customWidth="1"/>
    <col min="495" max="495" width="52" style="53" customWidth="1"/>
    <col min="496" max="496" width="5.28515625" style="53" customWidth="1"/>
    <col min="497" max="497" width="5.85546875" style="53" bestFit="1" customWidth="1"/>
    <col min="498" max="498" width="16.42578125" style="53" customWidth="1"/>
    <col min="499" max="499" width="4.5703125" style="53" customWidth="1"/>
    <col min="500" max="500" width="14.140625" style="53" customWidth="1"/>
    <col min="501" max="501" width="27.140625" style="53" customWidth="1"/>
    <col min="502" max="502" width="16.28515625" style="53" customWidth="1"/>
    <col min="503" max="503" width="13.85546875" style="53" customWidth="1"/>
    <col min="504" max="746" width="9.140625" style="53"/>
    <col min="747" max="747" width="1.7109375" style="53" customWidth="1"/>
    <col min="748" max="749" width="4.7109375" style="53" customWidth="1"/>
    <col min="750" max="750" width="54.140625" style="53" customWidth="1"/>
    <col min="751" max="751" width="52" style="53" customWidth="1"/>
    <col min="752" max="752" width="5.28515625" style="53" customWidth="1"/>
    <col min="753" max="753" width="5.85546875" style="53" bestFit="1" customWidth="1"/>
    <col min="754" max="754" width="16.42578125" style="53" customWidth="1"/>
    <col min="755" max="755" width="4.5703125" style="53" customWidth="1"/>
    <col min="756" max="756" width="14.140625" style="53" customWidth="1"/>
    <col min="757" max="757" width="27.140625" style="53" customWidth="1"/>
    <col min="758" max="758" width="16.28515625" style="53" customWidth="1"/>
    <col min="759" max="759" width="13.85546875" style="53" customWidth="1"/>
    <col min="760" max="1002" width="9.140625" style="53"/>
    <col min="1003" max="1003" width="1.7109375" style="53" customWidth="1"/>
    <col min="1004" max="1005" width="4.7109375" style="53" customWidth="1"/>
    <col min="1006" max="1006" width="54.140625" style="53" customWidth="1"/>
    <col min="1007" max="1007" width="52" style="53" customWidth="1"/>
    <col min="1008" max="1008" width="5.28515625" style="53" customWidth="1"/>
    <col min="1009" max="1009" width="5.85546875" style="53" bestFit="1" customWidth="1"/>
    <col min="1010" max="1010" width="16.42578125" style="53" customWidth="1"/>
    <col min="1011" max="1011" width="4.5703125" style="53" customWidth="1"/>
    <col min="1012" max="1012" width="14.140625" style="53" customWidth="1"/>
    <col min="1013" max="1013" width="27.140625" style="53" customWidth="1"/>
    <col min="1014" max="1014" width="16.28515625" style="53" customWidth="1"/>
    <col min="1015" max="1015" width="13.85546875" style="53" customWidth="1"/>
    <col min="1016" max="1258" width="9.140625" style="53"/>
    <col min="1259" max="1259" width="1.7109375" style="53" customWidth="1"/>
    <col min="1260" max="1261" width="4.7109375" style="53" customWidth="1"/>
    <col min="1262" max="1262" width="54.140625" style="53" customWidth="1"/>
    <col min="1263" max="1263" width="52" style="53" customWidth="1"/>
    <col min="1264" max="1264" width="5.28515625" style="53" customWidth="1"/>
    <col min="1265" max="1265" width="5.85546875" style="53" bestFit="1" customWidth="1"/>
    <col min="1266" max="1266" width="16.42578125" style="53" customWidth="1"/>
    <col min="1267" max="1267" width="4.5703125" style="53" customWidth="1"/>
    <col min="1268" max="1268" width="14.140625" style="53" customWidth="1"/>
    <col min="1269" max="1269" width="27.140625" style="53" customWidth="1"/>
    <col min="1270" max="1270" width="16.28515625" style="53" customWidth="1"/>
    <col min="1271" max="1271" width="13.85546875" style="53" customWidth="1"/>
    <col min="1272" max="1514" width="9.140625" style="53"/>
    <col min="1515" max="1515" width="1.7109375" style="53" customWidth="1"/>
    <col min="1516" max="1517" width="4.7109375" style="53" customWidth="1"/>
    <col min="1518" max="1518" width="54.140625" style="53" customWidth="1"/>
    <col min="1519" max="1519" width="52" style="53" customWidth="1"/>
    <col min="1520" max="1520" width="5.28515625" style="53" customWidth="1"/>
    <col min="1521" max="1521" width="5.85546875" style="53" bestFit="1" customWidth="1"/>
    <col min="1522" max="1522" width="16.42578125" style="53" customWidth="1"/>
    <col min="1523" max="1523" width="4.5703125" style="53" customWidth="1"/>
    <col min="1524" max="1524" width="14.140625" style="53" customWidth="1"/>
    <col min="1525" max="1525" width="27.140625" style="53" customWidth="1"/>
    <col min="1526" max="1526" width="16.28515625" style="53" customWidth="1"/>
    <col min="1527" max="1527" width="13.85546875" style="53" customWidth="1"/>
    <col min="1528" max="1770" width="9.140625" style="53"/>
    <col min="1771" max="1771" width="1.7109375" style="53" customWidth="1"/>
    <col min="1772" max="1773" width="4.7109375" style="53" customWidth="1"/>
    <col min="1774" max="1774" width="54.140625" style="53" customWidth="1"/>
    <col min="1775" max="1775" width="52" style="53" customWidth="1"/>
    <col min="1776" max="1776" width="5.28515625" style="53" customWidth="1"/>
    <col min="1777" max="1777" width="5.85546875" style="53" bestFit="1" customWidth="1"/>
    <col min="1778" max="1778" width="16.42578125" style="53" customWidth="1"/>
    <col min="1779" max="1779" width="4.5703125" style="53" customWidth="1"/>
    <col min="1780" max="1780" width="14.140625" style="53" customWidth="1"/>
    <col min="1781" max="1781" width="27.140625" style="53" customWidth="1"/>
    <col min="1782" max="1782" width="16.28515625" style="53" customWidth="1"/>
    <col min="1783" max="1783" width="13.85546875" style="53" customWidth="1"/>
    <col min="1784" max="2026" width="9.140625" style="53"/>
    <col min="2027" max="2027" width="1.7109375" style="53" customWidth="1"/>
    <col min="2028" max="2029" width="4.7109375" style="53" customWidth="1"/>
    <col min="2030" max="2030" width="54.140625" style="53" customWidth="1"/>
    <col min="2031" max="2031" width="52" style="53" customWidth="1"/>
    <col min="2032" max="2032" width="5.28515625" style="53" customWidth="1"/>
    <col min="2033" max="2033" width="5.85546875" style="53" bestFit="1" customWidth="1"/>
    <col min="2034" max="2034" width="16.42578125" style="53" customWidth="1"/>
    <col min="2035" max="2035" width="4.5703125" style="53" customWidth="1"/>
    <col min="2036" max="2036" width="14.140625" style="53" customWidth="1"/>
    <col min="2037" max="2037" width="27.140625" style="53" customWidth="1"/>
    <col min="2038" max="2038" width="16.28515625" style="53" customWidth="1"/>
    <col min="2039" max="2039" width="13.85546875" style="53" customWidth="1"/>
    <col min="2040" max="2282" width="9.140625" style="53"/>
    <col min="2283" max="2283" width="1.7109375" style="53" customWidth="1"/>
    <col min="2284" max="2285" width="4.7109375" style="53" customWidth="1"/>
    <col min="2286" max="2286" width="54.140625" style="53" customWidth="1"/>
    <col min="2287" max="2287" width="52" style="53" customWidth="1"/>
    <col min="2288" max="2288" width="5.28515625" style="53" customWidth="1"/>
    <col min="2289" max="2289" width="5.85546875" style="53" bestFit="1" customWidth="1"/>
    <col min="2290" max="2290" width="16.42578125" style="53" customWidth="1"/>
    <col min="2291" max="2291" width="4.5703125" style="53" customWidth="1"/>
    <col min="2292" max="2292" width="14.140625" style="53" customWidth="1"/>
    <col min="2293" max="2293" width="27.140625" style="53" customWidth="1"/>
    <col min="2294" max="2294" width="16.28515625" style="53" customWidth="1"/>
    <col min="2295" max="2295" width="13.85546875" style="53" customWidth="1"/>
    <col min="2296" max="2538" width="9.140625" style="53"/>
    <col min="2539" max="2539" width="1.7109375" style="53" customWidth="1"/>
    <col min="2540" max="2541" width="4.7109375" style="53" customWidth="1"/>
    <col min="2542" max="2542" width="54.140625" style="53" customWidth="1"/>
    <col min="2543" max="2543" width="52" style="53" customWidth="1"/>
    <col min="2544" max="2544" width="5.28515625" style="53" customWidth="1"/>
    <col min="2545" max="2545" width="5.85546875" style="53" bestFit="1" customWidth="1"/>
    <col min="2546" max="2546" width="16.42578125" style="53" customWidth="1"/>
    <col min="2547" max="2547" width="4.5703125" style="53" customWidth="1"/>
    <col min="2548" max="2548" width="14.140625" style="53" customWidth="1"/>
    <col min="2549" max="2549" width="27.140625" style="53" customWidth="1"/>
    <col min="2550" max="2550" width="16.28515625" style="53" customWidth="1"/>
    <col min="2551" max="2551" width="13.85546875" style="53" customWidth="1"/>
    <col min="2552" max="2794" width="9.140625" style="53"/>
    <col min="2795" max="2795" width="1.7109375" style="53" customWidth="1"/>
    <col min="2796" max="2797" width="4.7109375" style="53" customWidth="1"/>
    <col min="2798" max="2798" width="54.140625" style="53" customWidth="1"/>
    <col min="2799" max="2799" width="52" style="53" customWidth="1"/>
    <col min="2800" max="2800" width="5.28515625" style="53" customWidth="1"/>
    <col min="2801" max="2801" width="5.85546875" style="53" bestFit="1" customWidth="1"/>
    <col min="2802" max="2802" width="16.42578125" style="53" customWidth="1"/>
    <col min="2803" max="2803" width="4.5703125" style="53" customWidth="1"/>
    <col min="2804" max="2804" width="14.140625" style="53" customWidth="1"/>
    <col min="2805" max="2805" width="27.140625" style="53" customWidth="1"/>
    <col min="2806" max="2806" width="16.28515625" style="53" customWidth="1"/>
    <col min="2807" max="2807" width="13.85546875" style="53" customWidth="1"/>
    <col min="2808" max="3050" width="9.140625" style="53"/>
    <col min="3051" max="3051" width="1.7109375" style="53" customWidth="1"/>
    <col min="3052" max="3053" width="4.7109375" style="53" customWidth="1"/>
    <col min="3054" max="3054" width="54.140625" style="53" customWidth="1"/>
    <col min="3055" max="3055" width="52" style="53" customWidth="1"/>
    <col min="3056" max="3056" width="5.28515625" style="53" customWidth="1"/>
    <col min="3057" max="3057" width="5.85546875" style="53" bestFit="1" customWidth="1"/>
    <col min="3058" max="3058" width="16.42578125" style="53" customWidth="1"/>
    <col min="3059" max="3059" width="4.5703125" style="53" customWidth="1"/>
    <col min="3060" max="3060" width="14.140625" style="53" customWidth="1"/>
    <col min="3061" max="3061" width="27.140625" style="53" customWidth="1"/>
    <col min="3062" max="3062" width="16.28515625" style="53" customWidth="1"/>
    <col min="3063" max="3063" width="13.85546875" style="53" customWidth="1"/>
    <col min="3064" max="3306" width="9.140625" style="53"/>
    <col min="3307" max="3307" width="1.7109375" style="53" customWidth="1"/>
    <col min="3308" max="3309" width="4.7109375" style="53" customWidth="1"/>
    <col min="3310" max="3310" width="54.140625" style="53" customWidth="1"/>
    <col min="3311" max="3311" width="52" style="53" customWidth="1"/>
    <col min="3312" max="3312" width="5.28515625" style="53" customWidth="1"/>
    <col min="3313" max="3313" width="5.85546875" style="53" bestFit="1" customWidth="1"/>
    <col min="3314" max="3314" width="16.42578125" style="53" customWidth="1"/>
    <col min="3315" max="3315" width="4.5703125" style="53" customWidth="1"/>
    <col min="3316" max="3316" width="14.140625" style="53" customWidth="1"/>
    <col min="3317" max="3317" width="27.140625" style="53" customWidth="1"/>
    <col min="3318" max="3318" width="16.28515625" style="53" customWidth="1"/>
    <col min="3319" max="3319" width="13.85546875" style="53" customWidth="1"/>
    <col min="3320" max="3562" width="9.140625" style="53"/>
    <col min="3563" max="3563" width="1.7109375" style="53" customWidth="1"/>
    <col min="3564" max="3565" width="4.7109375" style="53" customWidth="1"/>
    <col min="3566" max="3566" width="54.140625" style="53" customWidth="1"/>
    <col min="3567" max="3567" width="52" style="53" customWidth="1"/>
    <col min="3568" max="3568" width="5.28515625" style="53" customWidth="1"/>
    <col min="3569" max="3569" width="5.85546875" style="53" bestFit="1" customWidth="1"/>
    <col min="3570" max="3570" width="16.42578125" style="53" customWidth="1"/>
    <col min="3571" max="3571" width="4.5703125" style="53" customWidth="1"/>
    <col min="3572" max="3572" width="14.140625" style="53" customWidth="1"/>
    <col min="3573" max="3573" width="27.140625" style="53" customWidth="1"/>
    <col min="3574" max="3574" width="16.28515625" style="53" customWidth="1"/>
    <col min="3575" max="3575" width="13.85546875" style="53" customWidth="1"/>
    <col min="3576" max="3818" width="9.140625" style="53"/>
    <col min="3819" max="3819" width="1.7109375" style="53" customWidth="1"/>
    <col min="3820" max="3821" width="4.7109375" style="53" customWidth="1"/>
    <col min="3822" max="3822" width="54.140625" style="53" customWidth="1"/>
    <col min="3823" max="3823" width="52" style="53" customWidth="1"/>
    <col min="3824" max="3824" width="5.28515625" style="53" customWidth="1"/>
    <col min="3825" max="3825" width="5.85546875" style="53" bestFit="1" customWidth="1"/>
    <col min="3826" max="3826" width="16.42578125" style="53" customWidth="1"/>
    <col min="3827" max="3827" width="4.5703125" style="53" customWidth="1"/>
    <col min="3828" max="3828" width="14.140625" style="53" customWidth="1"/>
    <col min="3829" max="3829" width="27.140625" style="53" customWidth="1"/>
    <col min="3830" max="3830" width="16.28515625" style="53" customWidth="1"/>
    <col min="3831" max="3831" width="13.85546875" style="53" customWidth="1"/>
    <col min="3832" max="4074" width="9.140625" style="53"/>
    <col min="4075" max="4075" width="1.7109375" style="53" customWidth="1"/>
    <col min="4076" max="4077" width="4.7109375" style="53" customWidth="1"/>
    <col min="4078" max="4078" width="54.140625" style="53" customWidth="1"/>
    <col min="4079" max="4079" width="52" style="53" customWidth="1"/>
    <col min="4080" max="4080" width="5.28515625" style="53" customWidth="1"/>
    <col min="4081" max="4081" width="5.85546875" style="53" bestFit="1" customWidth="1"/>
    <col min="4082" max="4082" width="16.42578125" style="53" customWidth="1"/>
    <col min="4083" max="4083" width="4.5703125" style="53" customWidth="1"/>
    <col min="4084" max="4084" width="14.140625" style="53" customWidth="1"/>
    <col min="4085" max="4085" width="27.140625" style="53" customWidth="1"/>
    <col min="4086" max="4086" width="16.28515625" style="53" customWidth="1"/>
    <col min="4087" max="4087" width="13.85546875" style="53" customWidth="1"/>
    <col min="4088" max="4330" width="9.140625" style="53"/>
    <col min="4331" max="4331" width="1.7109375" style="53" customWidth="1"/>
    <col min="4332" max="4333" width="4.7109375" style="53" customWidth="1"/>
    <col min="4334" max="4334" width="54.140625" style="53" customWidth="1"/>
    <col min="4335" max="4335" width="52" style="53" customWidth="1"/>
    <col min="4336" max="4336" width="5.28515625" style="53" customWidth="1"/>
    <col min="4337" max="4337" width="5.85546875" style="53" bestFit="1" customWidth="1"/>
    <col min="4338" max="4338" width="16.42578125" style="53" customWidth="1"/>
    <col min="4339" max="4339" width="4.5703125" style="53" customWidth="1"/>
    <col min="4340" max="4340" width="14.140625" style="53" customWidth="1"/>
    <col min="4341" max="4341" width="27.140625" style="53" customWidth="1"/>
    <col min="4342" max="4342" width="16.28515625" style="53" customWidth="1"/>
    <col min="4343" max="4343" width="13.85546875" style="53" customWidth="1"/>
    <col min="4344" max="4586" width="9.140625" style="53"/>
    <col min="4587" max="4587" width="1.7109375" style="53" customWidth="1"/>
    <col min="4588" max="4589" width="4.7109375" style="53" customWidth="1"/>
    <col min="4590" max="4590" width="54.140625" style="53" customWidth="1"/>
    <col min="4591" max="4591" width="52" style="53" customWidth="1"/>
    <col min="4592" max="4592" width="5.28515625" style="53" customWidth="1"/>
    <col min="4593" max="4593" width="5.85546875" style="53" bestFit="1" customWidth="1"/>
    <col min="4594" max="4594" width="16.42578125" style="53" customWidth="1"/>
    <col min="4595" max="4595" width="4.5703125" style="53" customWidth="1"/>
    <col min="4596" max="4596" width="14.140625" style="53" customWidth="1"/>
    <col min="4597" max="4597" width="27.140625" style="53" customWidth="1"/>
    <col min="4598" max="4598" width="16.28515625" style="53" customWidth="1"/>
    <col min="4599" max="4599" width="13.85546875" style="53" customWidth="1"/>
    <col min="4600" max="4842" width="9.140625" style="53"/>
    <col min="4843" max="4843" width="1.7109375" style="53" customWidth="1"/>
    <col min="4844" max="4845" width="4.7109375" style="53" customWidth="1"/>
    <col min="4846" max="4846" width="54.140625" style="53" customWidth="1"/>
    <col min="4847" max="4847" width="52" style="53" customWidth="1"/>
    <col min="4848" max="4848" width="5.28515625" style="53" customWidth="1"/>
    <col min="4849" max="4849" width="5.85546875" style="53" bestFit="1" customWidth="1"/>
    <col min="4850" max="4850" width="16.42578125" style="53" customWidth="1"/>
    <col min="4851" max="4851" width="4.5703125" style="53" customWidth="1"/>
    <col min="4852" max="4852" width="14.140625" style="53" customWidth="1"/>
    <col min="4853" max="4853" width="27.140625" style="53" customWidth="1"/>
    <col min="4854" max="4854" width="16.28515625" style="53" customWidth="1"/>
    <col min="4855" max="4855" width="13.85546875" style="53" customWidth="1"/>
    <col min="4856" max="5098" width="9.140625" style="53"/>
    <col min="5099" max="5099" width="1.7109375" style="53" customWidth="1"/>
    <col min="5100" max="5101" width="4.7109375" style="53" customWidth="1"/>
    <col min="5102" max="5102" width="54.140625" style="53" customWidth="1"/>
    <col min="5103" max="5103" width="52" style="53" customWidth="1"/>
    <col min="5104" max="5104" width="5.28515625" style="53" customWidth="1"/>
    <col min="5105" max="5105" width="5.85546875" style="53" bestFit="1" customWidth="1"/>
    <col min="5106" max="5106" width="16.42578125" style="53" customWidth="1"/>
    <col min="5107" max="5107" width="4.5703125" style="53" customWidth="1"/>
    <col min="5108" max="5108" width="14.140625" style="53" customWidth="1"/>
    <col min="5109" max="5109" width="27.140625" style="53" customWidth="1"/>
    <col min="5110" max="5110" width="16.28515625" style="53" customWidth="1"/>
    <col min="5111" max="5111" width="13.85546875" style="53" customWidth="1"/>
    <col min="5112" max="5354" width="9.140625" style="53"/>
    <col min="5355" max="5355" width="1.7109375" style="53" customWidth="1"/>
    <col min="5356" max="5357" width="4.7109375" style="53" customWidth="1"/>
    <col min="5358" max="5358" width="54.140625" style="53" customWidth="1"/>
    <col min="5359" max="5359" width="52" style="53" customWidth="1"/>
    <col min="5360" max="5360" width="5.28515625" style="53" customWidth="1"/>
    <col min="5361" max="5361" width="5.85546875" style="53" bestFit="1" customWidth="1"/>
    <col min="5362" max="5362" width="16.42578125" style="53" customWidth="1"/>
    <col min="5363" max="5363" width="4.5703125" style="53" customWidth="1"/>
    <col min="5364" max="5364" width="14.140625" style="53" customWidth="1"/>
    <col min="5365" max="5365" width="27.140625" style="53" customWidth="1"/>
    <col min="5366" max="5366" width="16.28515625" style="53" customWidth="1"/>
    <col min="5367" max="5367" width="13.85546875" style="53" customWidth="1"/>
    <col min="5368" max="5610" width="9.140625" style="53"/>
    <col min="5611" max="5611" width="1.7109375" style="53" customWidth="1"/>
    <col min="5612" max="5613" width="4.7109375" style="53" customWidth="1"/>
    <col min="5614" max="5614" width="54.140625" style="53" customWidth="1"/>
    <col min="5615" max="5615" width="52" style="53" customWidth="1"/>
    <col min="5616" max="5616" width="5.28515625" style="53" customWidth="1"/>
    <col min="5617" max="5617" width="5.85546875" style="53" bestFit="1" customWidth="1"/>
    <col min="5618" max="5618" width="16.42578125" style="53" customWidth="1"/>
    <col min="5619" max="5619" width="4.5703125" style="53" customWidth="1"/>
    <col min="5620" max="5620" width="14.140625" style="53" customWidth="1"/>
    <col min="5621" max="5621" width="27.140625" style="53" customWidth="1"/>
    <col min="5622" max="5622" width="16.28515625" style="53" customWidth="1"/>
    <col min="5623" max="5623" width="13.85546875" style="53" customWidth="1"/>
    <col min="5624" max="5866" width="9.140625" style="53"/>
    <col min="5867" max="5867" width="1.7109375" style="53" customWidth="1"/>
    <col min="5868" max="5869" width="4.7109375" style="53" customWidth="1"/>
    <col min="5870" max="5870" width="54.140625" style="53" customWidth="1"/>
    <col min="5871" max="5871" width="52" style="53" customWidth="1"/>
    <col min="5872" max="5872" width="5.28515625" style="53" customWidth="1"/>
    <col min="5873" max="5873" width="5.85546875" style="53" bestFit="1" customWidth="1"/>
    <col min="5874" max="5874" width="16.42578125" style="53" customWidth="1"/>
    <col min="5875" max="5875" width="4.5703125" style="53" customWidth="1"/>
    <col min="5876" max="5876" width="14.140625" style="53" customWidth="1"/>
    <col min="5877" max="5877" width="27.140625" style="53" customWidth="1"/>
    <col min="5878" max="5878" width="16.28515625" style="53" customWidth="1"/>
    <col min="5879" max="5879" width="13.85546875" style="53" customWidth="1"/>
    <col min="5880" max="6122" width="9.140625" style="53"/>
    <col min="6123" max="6123" width="1.7109375" style="53" customWidth="1"/>
    <col min="6124" max="6125" width="4.7109375" style="53" customWidth="1"/>
    <col min="6126" max="6126" width="54.140625" style="53" customWidth="1"/>
    <col min="6127" max="6127" width="52" style="53" customWidth="1"/>
    <col min="6128" max="6128" width="5.28515625" style="53" customWidth="1"/>
    <col min="6129" max="6129" width="5.85546875" style="53" bestFit="1" customWidth="1"/>
    <col min="6130" max="6130" width="16.42578125" style="53" customWidth="1"/>
    <col min="6131" max="6131" width="4.5703125" style="53" customWidth="1"/>
    <col min="6132" max="6132" width="14.140625" style="53" customWidth="1"/>
    <col min="6133" max="6133" width="27.140625" style="53" customWidth="1"/>
    <col min="6134" max="6134" width="16.28515625" style="53" customWidth="1"/>
    <col min="6135" max="6135" width="13.85546875" style="53" customWidth="1"/>
    <col min="6136" max="6378" width="9.140625" style="53"/>
    <col min="6379" max="6379" width="1.7109375" style="53" customWidth="1"/>
    <col min="6380" max="6381" width="4.7109375" style="53" customWidth="1"/>
    <col min="6382" max="6382" width="54.140625" style="53" customWidth="1"/>
    <col min="6383" max="6383" width="52" style="53" customWidth="1"/>
    <col min="6384" max="6384" width="5.28515625" style="53" customWidth="1"/>
    <col min="6385" max="6385" width="5.85546875" style="53" bestFit="1" customWidth="1"/>
    <col min="6386" max="6386" width="16.42578125" style="53" customWidth="1"/>
    <col min="6387" max="6387" width="4.5703125" style="53" customWidth="1"/>
    <col min="6388" max="6388" width="14.140625" style="53" customWidth="1"/>
    <col min="6389" max="6389" width="27.140625" style="53" customWidth="1"/>
    <col min="6390" max="6390" width="16.28515625" style="53" customWidth="1"/>
    <col min="6391" max="6391" width="13.85546875" style="53" customWidth="1"/>
    <col min="6392" max="6634" width="9.140625" style="53"/>
    <col min="6635" max="6635" width="1.7109375" style="53" customWidth="1"/>
    <col min="6636" max="6637" width="4.7109375" style="53" customWidth="1"/>
    <col min="6638" max="6638" width="54.140625" style="53" customWidth="1"/>
    <col min="6639" max="6639" width="52" style="53" customWidth="1"/>
    <col min="6640" max="6640" width="5.28515625" style="53" customWidth="1"/>
    <col min="6641" max="6641" width="5.85546875" style="53" bestFit="1" customWidth="1"/>
    <col min="6642" max="6642" width="16.42578125" style="53" customWidth="1"/>
    <col min="6643" max="6643" width="4.5703125" style="53" customWidth="1"/>
    <col min="6644" max="6644" width="14.140625" style="53" customWidth="1"/>
    <col min="6645" max="6645" width="27.140625" style="53" customWidth="1"/>
    <col min="6646" max="6646" width="16.28515625" style="53" customWidth="1"/>
    <col min="6647" max="6647" width="13.85546875" style="53" customWidth="1"/>
    <col min="6648" max="6890" width="9.140625" style="53"/>
    <col min="6891" max="6891" width="1.7109375" style="53" customWidth="1"/>
    <col min="6892" max="6893" width="4.7109375" style="53" customWidth="1"/>
    <col min="6894" max="6894" width="54.140625" style="53" customWidth="1"/>
    <col min="6895" max="6895" width="52" style="53" customWidth="1"/>
    <col min="6896" max="6896" width="5.28515625" style="53" customWidth="1"/>
    <col min="6897" max="6897" width="5.85546875" style="53" bestFit="1" customWidth="1"/>
    <col min="6898" max="6898" width="16.42578125" style="53" customWidth="1"/>
    <col min="6899" max="6899" width="4.5703125" style="53" customWidth="1"/>
    <col min="6900" max="6900" width="14.140625" style="53" customWidth="1"/>
    <col min="6901" max="6901" width="27.140625" style="53" customWidth="1"/>
    <col min="6902" max="6902" width="16.28515625" style="53" customWidth="1"/>
    <col min="6903" max="6903" width="13.85546875" style="53" customWidth="1"/>
    <col min="6904" max="7146" width="9.140625" style="53"/>
    <col min="7147" max="7147" width="1.7109375" style="53" customWidth="1"/>
    <col min="7148" max="7149" width="4.7109375" style="53" customWidth="1"/>
    <col min="7150" max="7150" width="54.140625" style="53" customWidth="1"/>
    <col min="7151" max="7151" width="52" style="53" customWidth="1"/>
    <col min="7152" max="7152" width="5.28515625" style="53" customWidth="1"/>
    <col min="7153" max="7153" width="5.85546875" style="53" bestFit="1" customWidth="1"/>
    <col min="7154" max="7154" width="16.42578125" style="53" customWidth="1"/>
    <col min="7155" max="7155" width="4.5703125" style="53" customWidth="1"/>
    <col min="7156" max="7156" width="14.140625" style="53" customWidth="1"/>
    <col min="7157" max="7157" width="27.140625" style="53" customWidth="1"/>
    <col min="7158" max="7158" width="16.28515625" style="53" customWidth="1"/>
    <col min="7159" max="7159" width="13.85546875" style="53" customWidth="1"/>
    <col min="7160" max="7402" width="9.140625" style="53"/>
    <col min="7403" max="7403" width="1.7109375" style="53" customWidth="1"/>
    <col min="7404" max="7405" width="4.7109375" style="53" customWidth="1"/>
    <col min="7406" max="7406" width="54.140625" style="53" customWidth="1"/>
    <col min="7407" max="7407" width="52" style="53" customWidth="1"/>
    <col min="7408" max="7408" width="5.28515625" style="53" customWidth="1"/>
    <col min="7409" max="7409" width="5.85546875" style="53" bestFit="1" customWidth="1"/>
    <col min="7410" max="7410" width="16.42578125" style="53" customWidth="1"/>
    <col min="7411" max="7411" width="4.5703125" style="53" customWidth="1"/>
    <col min="7412" max="7412" width="14.140625" style="53" customWidth="1"/>
    <col min="7413" max="7413" width="27.140625" style="53" customWidth="1"/>
    <col min="7414" max="7414" width="16.28515625" style="53" customWidth="1"/>
    <col min="7415" max="7415" width="13.85546875" style="53" customWidth="1"/>
    <col min="7416" max="7658" width="9.140625" style="53"/>
    <col min="7659" max="7659" width="1.7109375" style="53" customWidth="1"/>
    <col min="7660" max="7661" width="4.7109375" style="53" customWidth="1"/>
    <col min="7662" max="7662" width="54.140625" style="53" customWidth="1"/>
    <col min="7663" max="7663" width="52" style="53" customWidth="1"/>
    <col min="7664" max="7664" width="5.28515625" style="53" customWidth="1"/>
    <col min="7665" max="7665" width="5.85546875" style="53" bestFit="1" customWidth="1"/>
    <col min="7666" max="7666" width="16.42578125" style="53" customWidth="1"/>
    <col min="7667" max="7667" width="4.5703125" style="53" customWidth="1"/>
    <col min="7668" max="7668" width="14.140625" style="53" customWidth="1"/>
    <col min="7669" max="7669" width="27.140625" style="53" customWidth="1"/>
    <col min="7670" max="7670" width="16.28515625" style="53" customWidth="1"/>
    <col min="7671" max="7671" width="13.85546875" style="53" customWidth="1"/>
    <col min="7672" max="7914" width="9.140625" style="53"/>
    <col min="7915" max="7915" width="1.7109375" style="53" customWidth="1"/>
    <col min="7916" max="7917" width="4.7109375" style="53" customWidth="1"/>
    <col min="7918" max="7918" width="54.140625" style="53" customWidth="1"/>
    <col min="7919" max="7919" width="52" style="53" customWidth="1"/>
    <col min="7920" max="7920" width="5.28515625" style="53" customWidth="1"/>
    <col min="7921" max="7921" width="5.85546875" style="53" bestFit="1" customWidth="1"/>
    <col min="7922" max="7922" width="16.42578125" style="53" customWidth="1"/>
    <col min="7923" max="7923" width="4.5703125" style="53" customWidth="1"/>
    <col min="7924" max="7924" width="14.140625" style="53" customWidth="1"/>
    <col min="7925" max="7925" width="27.140625" style="53" customWidth="1"/>
    <col min="7926" max="7926" width="16.28515625" style="53" customWidth="1"/>
    <col min="7927" max="7927" width="13.85546875" style="53" customWidth="1"/>
    <col min="7928" max="8170" width="9.140625" style="53"/>
    <col min="8171" max="8171" width="1.7109375" style="53" customWidth="1"/>
    <col min="8172" max="8173" width="4.7109375" style="53" customWidth="1"/>
    <col min="8174" max="8174" width="54.140625" style="53" customWidth="1"/>
    <col min="8175" max="8175" width="52" style="53" customWidth="1"/>
    <col min="8176" max="8176" width="5.28515625" style="53" customWidth="1"/>
    <col min="8177" max="8177" width="5.85546875" style="53" bestFit="1" customWidth="1"/>
    <col min="8178" max="8178" width="16.42578125" style="53" customWidth="1"/>
    <col min="8179" max="8179" width="4.5703125" style="53" customWidth="1"/>
    <col min="8180" max="8180" width="14.140625" style="53" customWidth="1"/>
    <col min="8181" max="8181" width="27.140625" style="53" customWidth="1"/>
    <col min="8182" max="8182" width="16.28515625" style="53" customWidth="1"/>
    <col min="8183" max="8183" width="13.85546875" style="53" customWidth="1"/>
    <col min="8184" max="8426" width="9.140625" style="53"/>
    <col min="8427" max="8427" width="1.7109375" style="53" customWidth="1"/>
    <col min="8428" max="8429" width="4.7109375" style="53" customWidth="1"/>
    <col min="8430" max="8430" width="54.140625" style="53" customWidth="1"/>
    <col min="8431" max="8431" width="52" style="53" customWidth="1"/>
    <col min="8432" max="8432" width="5.28515625" style="53" customWidth="1"/>
    <col min="8433" max="8433" width="5.85546875" style="53" bestFit="1" customWidth="1"/>
    <col min="8434" max="8434" width="16.42578125" style="53" customWidth="1"/>
    <col min="8435" max="8435" width="4.5703125" style="53" customWidth="1"/>
    <col min="8436" max="8436" width="14.140625" style="53" customWidth="1"/>
    <col min="8437" max="8437" width="27.140625" style="53" customWidth="1"/>
    <col min="8438" max="8438" width="16.28515625" style="53" customWidth="1"/>
    <col min="8439" max="8439" width="13.85546875" style="53" customWidth="1"/>
    <col min="8440" max="8682" width="9.140625" style="53"/>
    <col min="8683" max="8683" width="1.7109375" style="53" customWidth="1"/>
    <col min="8684" max="8685" width="4.7109375" style="53" customWidth="1"/>
    <col min="8686" max="8686" width="54.140625" style="53" customWidth="1"/>
    <col min="8687" max="8687" width="52" style="53" customWidth="1"/>
    <col min="8688" max="8688" width="5.28515625" style="53" customWidth="1"/>
    <col min="8689" max="8689" width="5.85546875" style="53" bestFit="1" customWidth="1"/>
    <col min="8690" max="8690" width="16.42578125" style="53" customWidth="1"/>
    <col min="8691" max="8691" width="4.5703125" style="53" customWidth="1"/>
    <col min="8692" max="8692" width="14.140625" style="53" customWidth="1"/>
    <col min="8693" max="8693" width="27.140625" style="53" customWidth="1"/>
    <col min="8694" max="8694" width="16.28515625" style="53" customWidth="1"/>
    <col min="8695" max="8695" width="13.85546875" style="53" customWidth="1"/>
    <col min="8696" max="8938" width="9.140625" style="53"/>
    <col min="8939" max="8939" width="1.7109375" style="53" customWidth="1"/>
    <col min="8940" max="8941" width="4.7109375" style="53" customWidth="1"/>
    <col min="8942" max="8942" width="54.140625" style="53" customWidth="1"/>
    <col min="8943" max="8943" width="52" style="53" customWidth="1"/>
    <col min="8944" max="8944" width="5.28515625" style="53" customWidth="1"/>
    <col min="8945" max="8945" width="5.85546875" style="53" bestFit="1" customWidth="1"/>
    <col min="8946" max="8946" width="16.42578125" style="53" customWidth="1"/>
    <col min="8947" max="8947" width="4.5703125" style="53" customWidth="1"/>
    <col min="8948" max="8948" width="14.140625" style="53" customWidth="1"/>
    <col min="8949" max="8949" width="27.140625" style="53" customWidth="1"/>
    <col min="8950" max="8950" width="16.28515625" style="53" customWidth="1"/>
    <col min="8951" max="8951" width="13.85546875" style="53" customWidth="1"/>
    <col min="8952" max="9194" width="9.140625" style="53"/>
    <col min="9195" max="9195" width="1.7109375" style="53" customWidth="1"/>
    <col min="9196" max="9197" width="4.7109375" style="53" customWidth="1"/>
    <col min="9198" max="9198" width="54.140625" style="53" customWidth="1"/>
    <col min="9199" max="9199" width="52" style="53" customWidth="1"/>
    <col min="9200" max="9200" width="5.28515625" style="53" customWidth="1"/>
    <col min="9201" max="9201" width="5.85546875" style="53" bestFit="1" customWidth="1"/>
    <col min="9202" max="9202" width="16.42578125" style="53" customWidth="1"/>
    <col min="9203" max="9203" width="4.5703125" style="53" customWidth="1"/>
    <col min="9204" max="9204" width="14.140625" style="53" customWidth="1"/>
    <col min="9205" max="9205" width="27.140625" style="53" customWidth="1"/>
    <col min="9206" max="9206" width="16.28515625" style="53" customWidth="1"/>
    <col min="9207" max="9207" width="13.85546875" style="53" customWidth="1"/>
    <col min="9208" max="9450" width="9.140625" style="53"/>
    <col min="9451" max="9451" width="1.7109375" style="53" customWidth="1"/>
    <col min="9452" max="9453" width="4.7109375" style="53" customWidth="1"/>
    <col min="9454" max="9454" width="54.140625" style="53" customWidth="1"/>
    <col min="9455" max="9455" width="52" style="53" customWidth="1"/>
    <col min="9456" max="9456" width="5.28515625" style="53" customWidth="1"/>
    <col min="9457" max="9457" width="5.85546875" style="53" bestFit="1" customWidth="1"/>
    <col min="9458" max="9458" width="16.42578125" style="53" customWidth="1"/>
    <col min="9459" max="9459" width="4.5703125" style="53" customWidth="1"/>
    <col min="9460" max="9460" width="14.140625" style="53" customWidth="1"/>
    <col min="9461" max="9461" width="27.140625" style="53" customWidth="1"/>
    <col min="9462" max="9462" width="16.28515625" style="53" customWidth="1"/>
    <col min="9463" max="9463" width="13.85546875" style="53" customWidth="1"/>
    <col min="9464" max="9706" width="9.140625" style="53"/>
    <col min="9707" max="9707" width="1.7109375" style="53" customWidth="1"/>
    <col min="9708" max="9709" width="4.7109375" style="53" customWidth="1"/>
    <col min="9710" max="9710" width="54.140625" style="53" customWidth="1"/>
    <col min="9711" max="9711" width="52" style="53" customWidth="1"/>
    <col min="9712" max="9712" width="5.28515625" style="53" customWidth="1"/>
    <col min="9713" max="9713" width="5.85546875" style="53" bestFit="1" customWidth="1"/>
    <col min="9714" max="9714" width="16.42578125" style="53" customWidth="1"/>
    <col min="9715" max="9715" width="4.5703125" style="53" customWidth="1"/>
    <col min="9716" max="9716" width="14.140625" style="53" customWidth="1"/>
    <col min="9717" max="9717" width="27.140625" style="53" customWidth="1"/>
    <col min="9718" max="9718" width="16.28515625" style="53" customWidth="1"/>
    <col min="9719" max="9719" width="13.85546875" style="53" customWidth="1"/>
    <col min="9720" max="9962" width="9.140625" style="53"/>
    <col min="9963" max="9963" width="1.7109375" style="53" customWidth="1"/>
    <col min="9964" max="9965" width="4.7109375" style="53" customWidth="1"/>
    <col min="9966" max="9966" width="54.140625" style="53" customWidth="1"/>
    <col min="9967" max="9967" width="52" style="53" customWidth="1"/>
    <col min="9968" max="9968" width="5.28515625" style="53" customWidth="1"/>
    <col min="9969" max="9969" width="5.85546875" style="53" bestFit="1" customWidth="1"/>
    <col min="9970" max="9970" width="16.42578125" style="53" customWidth="1"/>
    <col min="9971" max="9971" width="4.5703125" style="53" customWidth="1"/>
    <col min="9972" max="9972" width="14.140625" style="53" customWidth="1"/>
    <col min="9973" max="9973" width="27.140625" style="53" customWidth="1"/>
    <col min="9974" max="9974" width="16.28515625" style="53" customWidth="1"/>
    <col min="9975" max="9975" width="13.85546875" style="53" customWidth="1"/>
    <col min="9976" max="10218" width="9.140625" style="53"/>
    <col min="10219" max="10219" width="1.7109375" style="53" customWidth="1"/>
    <col min="10220" max="10221" width="4.7109375" style="53" customWidth="1"/>
    <col min="10222" max="10222" width="54.140625" style="53" customWidth="1"/>
    <col min="10223" max="10223" width="52" style="53" customWidth="1"/>
    <col min="10224" max="10224" width="5.28515625" style="53" customWidth="1"/>
    <col min="10225" max="10225" width="5.85546875" style="53" bestFit="1" customWidth="1"/>
    <col min="10226" max="10226" width="16.42578125" style="53" customWidth="1"/>
    <col min="10227" max="10227" width="4.5703125" style="53" customWidth="1"/>
    <col min="10228" max="10228" width="14.140625" style="53" customWidth="1"/>
    <col min="10229" max="10229" width="27.140625" style="53" customWidth="1"/>
    <col min="10230" max="10230" width="16.28515625" style="53" customWidth="1"/>
    <col min="10231" max="10231" width="13.85546875" style="53" customWidth="1"/>
    <col min="10232" max="10474" width="9.140625" style="53"/>
    <col min="10475" max="10475" width="1.7109375" style="53" customWidth="1"/>
    <col min="10476" max="10477" width="4.7109375" style="53" customWidth="1"/>
    <col min="10478" max="10478" width="54.140625" style="53" customWidth="1"/>
    <col min="10479" max="10479" width="52" style="53" customWidth="1"/>
    <col min="10480" max="10480" width="5.28515625" style="53" customWidth="1"/>
    <col min="10481" max="10481" width="5.85546875" style="53" bestFit="1" customWidth="1"/>
    <col min="10482" max="10482" width="16.42578125" style="53" customWidth="1"/>
    <col min="10483" max="10483" width="4.5703125" style="53" customWidth="1"/>
    <col min="10484" max="10484" width="14.140625" style="53" customWidth="1"/>
    <col min="10485" max="10485" width="27.140625" style="53" customWidth="1"/>
    <col min="10486" max="10486" width="16.28515625" style="53" customWidth="1"/>
    <col min="10487" max="10487" width="13.85546875" style="53" customWidth="1"/>
    <col min="10488" max="10730" width="9.140625" style="53"/>
    <col min="10731" max="10731" width="1.7109375" style="53" customWidth="1"/>
    <col min="10732" max="10733" width="4.7109375" style="53" customWidth="1"/>
    <col min="10734" max="10734" width="54.140625" style="53" customWidth="1"/>
    <col min="10735" max="10735" width="52" style="53" customWidth="1"/>
    <col min="10736" max="10736" width="5.28515625" style="53" customWidth="1"/>
    <col min="10737" max="10737" width="5.85546875" style="53" bestFit="1" customWidth="1"/>
    <col min="10738" max="10738" width="16.42578125" style="53" customWidth="1"/>
    <col min="10739" max="10739" width="4.5703125" style="53" customWidth="1"/>
    <col min="10740" max="10740" width="14.140625" style="53" customWidth="1"/>
    <col min="10741" max="10741" width="27.140625" style="53" customWidth="1"/>
    <col min="10742" max="10742" width="16.28515625" style="53" customWidth="1"/>
    <col min="10743" max="10743" width="13.85546875" style="53" customWidth="1"/>
    <col min="10744" max="10986" width="9.140625" style="53"/>
    <col min="10987" max="10987" width="1.7109375" style="53" customWidth="1"/>
    <col min="10988" max="10989" width="4.7109375" style="53" customWidth="1"/>
    <col min="10990" max="10990" width="54.140625" style="53" customWidth="1"/>
    <col min="10991" max="10991" width="52" style="53" customWidth="1"/>
    <col min="10992" max="10992" width="5.28515625" style="53" customWidth="1"/>
    <col min="10993" max="10993" width="5.85546875" style="53" bestFit="1" customWidth="1"/>
    <col min="10994" max="10994" width="16.42578125" style="53" customWidth="1"/>
    <col min="10995" max="10995" width="4.5703125" style="53" customWidth="1"/>
    <col min="10996" max="10996" width="14.140625" style="53" customWidth="1"/>
    <col min="10997" max="10997" width="27.140625" style="53" customWidth="1"/>
    <col min="10998" max="10998" width="16.28515625" style="53" customWidth="1"/>
    <col min="10999" max="10999" width="13.85546875" style="53" customWidth="1"/>
    <col min="11000" max="11242" width="9.140625" style="53"/>
    <col min="11243" max="11243" width="1.7109375" style="53" customWidth="1"/>
    <col min="11244" max="11245" width="4.7109375" style="53" customWidth="1"/>
    <col min="11246" max="11246" width="54.140625" style="53" customWidth="1"/>
    <col min="11247" max="11247" width="52" style="53" customWidth="1"/>
    <col min="11248" max="11248" width="5.28515625" style="53" customWidth="1"/>
    <col min="11249" max="11249" width="5.85546875" style="53" bestFit="1" customWidth="1"/>
    <col min="11250" max="11250" width="16.42578125" style="53" customWidth="1"/>
    <col min="11251" max="11251" width="4.5703125" style="53" customWidth="1"/>
    <col min="11252" max="11252" width="14.140625" style="53" customWidth="1"/>
    <col min="11253" max="11253" width="27.140625" style="53" customWidth="1"/>
    <col min="11254" max="11254" width="16.28515625" style="53" customWidth="1"/>
    <col min="11255" max="11255" width="13.85546875" style="53" customWidth="1"/>
    <col min="11256" max="11498" width="9.140625" style="53"/>
    <col min="11499" max="11499" width="1.7109375" style="53" customWidth="1"/>
    <col min="11500" max="11501" width="4.7109375" style="53" customWidth="1"/>
    <col min="11502" max="11502" width="54.140625" style="53" customWidth="1"/>
    <col min="11503" max="11503" width="52" style="53" customWidth="1"/>
    <col min="11504" max="11504" width="5.28515625" style="53" customWidth="1"/>
    <col min="11505" max="11505" width="5.85546875" style="53" bestFit="1" customWidth="1"/>
    <col min="11506" max="11506" width="16.42578125" style="53" customWidth="1"/>
    <col min="11507" max="11507" width="4.5703125" style="53" customWidth="1"/>
    <col min="11508" max="11508" width="14.140625" style="53" customWidth="1"/>
    <col min="11509" max="11509" width="27.140625" style="53" customWidth="1"/>
    <col min="11510" max="11510" width="16.28515625" style="53" customWidth="1"/>
    <col min="11511" max="11511" width="13.85546875" style="53" customWidth="1"/>
    <col min="11512" max="11754" width="9.140625" style="53"/>
    <col min="11755" max="11755" width="1.7109375" style="53" customWidth="1"/>
    <col min="11756" max="11757" width="4.7109375" style="53" customWidth="1"/>
    <col min="11758" max="11758" width="54.140625" style="53" customWidth="1"/>
    <col min="11759" max="11759" width="52" style="53" customWidth="1"/>
    <col min="11760" max="11760" width="5.28515625" style="53" customWidth="1"/>
    <col min="11761" max="11761" width="5.85546875" style="53" bestFit="1" customWidth="1"/>
    <col min="11762" max="11762" width="16.42578125" style="53" customWidth="1"/>
    <col min="11763" max="11763" width="4.5703125" style="53" customWidth="1"/>
    <col min="11764" max="11764" width="14.140625" style="53" customWidth="1"/>
    <col min="11765" max="11765" width="27.140625" style="53" customWidth="1"/>
    <col min="11766" max="11766" width="16.28515625" style="53" customWidth="1"/>
    <col min="11767" max="11767" width="13.85546875" style="53" customWidth="1"/>
    <col min="11768" max="12010" width="9.140625" style="53"/>
    <col min="12011" max="12011" width="1.7109375" style="53" customWidth="1"/>
    <col min="12012" max="12013" width="4.7109375" style="53" customWidth="1"/>
    <col min="12014" max="12014" width="54.140625" style="53" customWidth="1"/>
    <col min="12015" max="12015" width="52" style="53" customWidth="1"/>
    <col min="12016" max="12016" width="5.28515625" style="53" customWidth="1"/>
    <col min="12017" max="12017" width="5.85546875" style="53" bestFit="1" customWidth="1"/>
    <col min="12018" max="12018" width="16.42578125" style="53" customWidth="1"/>
    <col min="12019" max="12019" width="4.5703125" style="53" customWidth="1"/>
    <col min="12020" max="12020" width="14.140625" style="53" customWidth="1"/>
    <col min="12021" max="12021" width="27.140625" style="53" customWidth="1"/>
    <col min="12022" max="12022" width="16.28515625" style="53" customWidth="1"/>
    <col min="12023" max="12023" width="13.85546875" style="53" customWidth="1"/>
    <col min="12024" max="12266" width="9.140625" style="53"/>
    <col min="12267" max="12267" width="1.7109375" style="53" customWidth="1"/>
    <col min="12268" max="12269" width="4.7109375" style="53" customWidth="1"/>
    <col min="12270" max="12270" width="54.140625" style="53" customWidth="1"/>
    <col min="12271" max="12271" width="52" style="53" customWidth="1"/>
    <col min="12272" max="12272" width="5.28515625" style="53" customWidth="1"/>
    <col min="12273" max="12273" width="5.85546875" style="53" bestFit="1" customWidth="1"/>
    <col min="12274" max="12274" width="16.42578125" style="53" customWidth="1"/>
    <col min="12275" max="12275" width="4.5703125" style="53" customWidth="1"/>
    <col min="12276" max="12276" width="14.140625" style="53" customWidth="1"/>
    <col min="12277" max="12277" width="27.140625" style="53" customWidth="1"/>
    <col min="12278" max="12278" width="16.28515625" style="53" customWidth="1"/>
    <col min="12279" max="12279" width="13.85546875" style="53" customWidth="1"/>
    <col min="12280" max="12522" width="9.140625" style="53"/>
    <col min="12523" max="12523" width="1.7109375" style="53" customWidth="1"/>
    <col min="12524" max="12525" width="4.7109375" style="53" customWidth="1"/>
    <col min="12526" max="12526" width="54.140625" style="53" customWidth="1"/>
    <col min="12527" max="12527" width="52" style="53" customWidth="1"/>
    <col min="12528" max="12528" width="5.28515625" style="53" customWidth="1"/>
    <col min="12529" max="12529" width="5.85546875" style="53" bestFit="1" customWidth="1"/>
    <col min="12530" max="12530" width="16.42578125" style="53" customWidth="1"/>
    <col min="12531" max="12531" width="4.5703125" style="53" customWidth="1"/>
    <col min="12532" max="12532" width="14.140625" style="53" customWidth="1"/>
    <col min="12533" max="12533" width="27.140625" style="53" customWidth="1"/>
    <col min="12534" max="12534" width="16.28515625" style="53" customWidth="1"/>
    <col min="12535" max="12535" width="13.85546875" style="53" customWidth="1"/>
    <col min="12536" max="12778" width="9.140625" style="53"/>
    <col min="12779" max="12779" width="1.7109375" style="53" customWidth="1"/>
    <col min="12780" max="12781" width="4.7109375" style="53" customWidth="1"/>
    <col min="12782" max="12782" width="54.140625" style="53" customWidth="1"/>
    <col min="12783" max="12783" width="52" style="53" customWidth="1"/>
    <col min="12784" max="12784" width="5.28515625" style="53" customWidth="1"/>
    <col min="12785" max="12785" width="5.85546875" style="53" bestFit="1" customWidth="1"/>
    <col min="12786" max="12786" width="16.42578125" style="53" customWidth="1"/>
    <col min="12787" max="12787" width="4.5703125" style="53" customWidth="1"/>
    <col min="12788" max="12788" width="14.140625" style="53" customWidth="1"/>
    <col min="12789" max="12789" width="27.140625" style="53" customWidth="1"/>
    <col min="12790" max="12790" width="16.28515625" style="53" customWidth="1"/>
    <col min="12791" max="12791" width="13.85546875" style="53" customWidth="1"/>
    <col min="12792" max="13034" width="9.140625" style="53"/>
    <col min="13035" max="13035" width="1.7109375" style="53" customWidth="1"/>
    <col min="13036" max="13037" width="4.7109375" style="53" customWidth="1"/>
    <col min="13038" max="13038" width="54.140625" style="53" customWidth="1"/>
    <col min="13039" max="13039" width="52" style="53" customWidth="1"/>
    <col min="13040" max="13040" width="5.28515625" style="53" customWidth="1"/>
    <col min="13041" max="13041" width="5.85546875" style="53" bestFit="1" customWidth="1"/>
    <col min="13042" max="13042" width="16.42578125" style="53" customWidth="1"/>
    <col min="13043" max="13043" width="4.5703125" style="53" customWidth="1"/>
    <col min="13044" max="13044" width="14.140625" style="53" customWidth="1"/>
    <col min="13045" max="13045" width="27.140625" style="53" customWidth="1"/>
    <col min="13046" max="13046" width="16.28515625" style="53" customWidth="1"/>
    <col min="13047" max="13047" width="13.85546875" style="53" customWidth="1"/>
    <col min="13048" max="13290" width="9.140625" style="53"/>
    <col min="13291" max="13291" width="1.7109375" style="53" customWidth="1"/>
    <col min="13292" max="13293" width="4.7109375" style="53" customWidth="1"/>
    <col min="13294" max="13294" width="54.140625" style="53" customWidth="1"/>
    <col min="13295" max="13295" width="52" style="53" customWidth="1"/>
    <col min="13296" max="13296" width="5.28515625" style="53" customWidth="1"/>
    <col min="13297" max="13297" width="5.85546875" style="53" bestFit="1" customWidth="1"/>
    <col min="13298" max="13298" width="16.42578125" style="53" customWidth="1"/>
    <col min="13299" max="13299" width="4.5703125" style="53" customWidth="1"/>
    <col min="13300" max="13300" width="14.140625" style="53" customWidth="1"/>
    <col min="13301" max="13301" width="27.140625" style="53" customWidth="1"/>
    <col min="13302" max="13302" width="16.28515625" style="53" customWidth="1"/>
    <col min="13303" max="13303" width="13.85546875" style="53" customWidth="1"/>
    <col min="13304" max="13546" width="9.140625" style="53"/>
    <col min="13547" max="13547" width="1.7109375" style="53" customWidth="1"/>
    <col min="13548" max="13549" width="4.7109375" style="53" customWidth="1"/>
    <col min="13550" max="13550" width="54.140625" style="53" customWidth="1"/>
    <col min="13551" max="13551" width="52" style="53" customWidth="1"/>
    <col min="13552" max="13552" width="5.28515625" style="53" customWidth="1"/>
    <col min="13553" max="13553" width="5.85546875" style="53" bestFit="1" customWidth="1"/>
    <col min="13554" max="13554" width="16.42578125" style="53" customWidth="1"/>
    <col min="13555" max="13555" width="4.5703125" style="53" customWidth="1"/>
    <col min="13556" max="13556" width="14.140625" style="53" customWidth="1"/>
    <col min="13557" max="13557" width="27.140625" style="53" customWidth="1"/>
    <col min="13558" max="13558" width="16.28515625" style="53" customWidth="1"/>
    <col min="13559" max="13559" width="13.85546875" style="53" customWidth="1"/>
    <col min="13560" max="13802" width="9.140625" style="53"/>
    <col min="13803" max="13803" width="1.7109375" style="53" customWidth="1"/>
    <col min="13804" max="13805" width="4.7109375" style="53" customWidth="1"/>
    <col min="13806" max="13806" width="54.140625" style="53" customWidth="1"/>
    <col min="13807" max="13807" width="52" style="53" customWidth="1"/>
    <col min="13808" max="13808" width="5.28515625" style="53" customWidth="1"/>
    <col min="13809" max="13809" width="5.85546875" style="53" bestFit="1" customWidth="1"/>
    <col min="13810" max="13810" width="16.42578125" style="53" customWidth="1"/>
    <col min="13811" max="13811" width="4.5703125" style="53" customWidth="1"/>
    <col min="13812" max="13812" width="14.140625" style="53" customWidth="1"/>
    <col min="13813" max="13813" width="27.140625" style="53" customWidth="1"/>
    <col min="13814" max="13814" width="16.28515625" style="53" customWidth="1"/>
    <col min="13815" max="13815" width="13.85546875" style="53" customWidth="1"/>
    <col min="13816" max="14058" width="9.140625" style="53"/>
    <col min="14059" max="14059" width="1.7109375" style="53" customWidth="1"/>
    <col min="14060" max="14061" width="4.7109375" style="53" customWidth="1"/>
    <col min="14062" max="14062" width="54.140625" style="53" customWidth="1"/>
    <col min="14063" max="14063" width="52" style="53" customWidth="1"/>
    <col min="14064" max="14064" width="5.28515625" style="53" customWidth="1"/>
    <col min="14065" max="14065" width="5.85546875" style="53" bestFit="1" customWidth="1"/>
    <col min="14066" max="14066" width="16.42578125" style="53" customWidth="1"/>
    <col min="14067" max="14067" width="4.5703125" style="53" customWidth="1"/>
    <col min="14068" max="14068" width="14.140625" style="53" customWidth="1"/>
    <col min="14069" max="14069" width="27.140625" style="53" customWidth="1"/>
    <col min="14070" max="14070" width="16.28515625" style="53" customWidth="1"/>
    <col min="14071" max="14071" width="13.85546875" style="53" customWidth="1"/>
    <col min="14072" max="14314" width="9.140625" style="53"/>
    <col min="14315" max="14315" width="1.7109375" style="53" customWidth="1"/>
    <col min="14316" max="14317" width="4.7109375" style="53" customWidth="1"/>
    <col min="14318" max="14318" width="54.140625" style="53" customWidth="1"/>
    <col min="14319" max="14319" width="52" style="53" customWidth="1"/>
    <col min="14320" max="14320" width="5.28515625" style="53" customWidth="1"/>
    <col min="14321" max="14321" width="5.85546875" style="53" bestFit="1" customWidth="1"/>
    <col min="14322" max="14322" width="16.42578125" style="53" customWidth="1"/>
    <col min="14323" max="14323" width="4.5703125" style="53" customWidth="1"/>
    <col min="14324" max="14324" width="14.140625" style="53" customWidth="1"/>
    <col min="14325" max="14325" width="27.140625" style="53" customWidth="1"/>
    <col min="14326" max="14326" width="16.28515625" style="53" customWidth="1"/>
    <col min="14327" max="14327" width="13.85546875" style="53" customWidth="1"/>
    <col min="14328" max="14570" width="9.140625" style="53"/>
    <col min="14571" max="14571" width="1.7109375" style="53" customWidth="1"/>
    <col min="14572" max="14573" width="4.7109375" style="53" customWidth="1"/>
    <col min="14574" max="14574" width="54.140625" style="53" customWidth="1"/>
    <col min="14575" max="14575" width="52" style="53" customWidth="1"/>
    <col min="14576" max="14576" width="5.28515625" style="53" customWidth="1"/>
    <col min="14577" max="14577" width="5.85546875" style="53" bestFit="1" customWidth="1"/>
    <col min="14578" max="14578" width="16.42578125" style="53" customWidth="1"/>
    <col min="14579" max="14579" width="4.5703125" style="53" customWidth="1"/>
    <col min="14580" max="14580" width="14.140625" style="53" customWidth="1"/>
    <col min="14581" max="14581" width="27.140625" style="53" customWidth="1"/>
    <col min="14582" max="14582" width="16.28515625" style="53" customWidth="1"/>
    <col min="14583" max="14583" width="13.85546875" style="53" customWidth="1"/>
    <col min="14584" max="14826" width="9.140625" style="53"/>
    <col min="14827" max="14827" width="1.7109375" style="53" customWidth="1"/>
    <col min="14828" max="14829" width="4.7109375" style="53" customWidth="1"/>
    <col min="14830" max="14830" width="54.140625" style="53" customWidth="1"/>
    <col min="14831" max="14831" width="52" style="53" customWidth="1"/>
    <col min="14832" max="14832" width="5.28515625" style="53" customWidth="1"/>
    <col min="14833" max="14833" width="5.85546875" style="53" bestFit="1" customWidth="1"/>
    <col min="14834" max="14834" width="16.42578125" style="53" customWidth="1"/>
    <col min="14835" max="14835" width="4.5703125" style="53" customWidth="1"/>
    <col min="14836" max="14836" width="14.140625" style="53" customWidth="1"/>
    <col min="14837" max="14837" width="27.140625" style="53" customWidth="1"/>
    <col min="14838" max="14838" width="16.28515625" style="53" customWidth="1"/>
    <col min="14839" max="14839" width="13.85546875" style="53" customWidth="1"/>
    <col min="14840" max="15082" width="9.140625" style="53"/>
    <col min="15083" max="15083" width="1.7109375" style="53" customWidth="1"/>
    <col min="15084" max="15085" width="4.7109375" style="53" customWidth="1"/>
    <col min="15086" max="15086" width="54.140625" style="53" customWidth="1"/>
    <col min="15087" max="15087" width="52" style="53" customWidth="1"/>
    <col min="15088" max="15088" width="5.28515625" style="53" customWidth="1"/>
    <col min="15089" max="15089" width="5.85546875" style="53" bestFit="1" customWidth="1"/>
    <col min="15090" max="15090" width="16.42578125" style="53" customWidth="1"/>
    <col min="15091" max="15091" width="4.5703125" style="53" customWidth="1"/>
    <col min="15092" max="15092" width="14.140625" style="53" customWidth="1"/>
    <col min="15093" max="15093" width="27.140625" style="53" customWidth="1"/>
    <col min="15094" max="15094" width="16.28515625" style="53" customWidth="1"/>
    <col min="15095" max="15095" width="13.85546875" style="53" customWidth="1"/>
    <col min="15096" max="15338" width="9.140625" style="53"/>
    <col min="15339" max="15339" width="1.7109375" style="53" customWidth="1"/>
    <col min="15340" max="15341" width="4.7109375" style="53" customWidth="1"/>
    <col min="15342" max="15342" width="54.140625" style="53" customWidth="1"/>
    <col min="15343" max="15343" width="52" style="53" customWidth="1"/>
    <col min="15344" max="15344" width="5.28515625" style="53" customWidth="1"/>
    <col min="15345" max="15345" width="5.85546875" style="53" bestFit="1" customWidth="1"/>
    <col min="15346" max="15346" width="16.42578125" style="53" customWidth="1"/>
    <col min="15347" max="15347" width="4.5703125" style="53" customWidth="1"/>
    <col min="15348" max="15348" width="14.140625" style="53" customWidth="1"/>
    <col min="15349" max="15349" width="27.140625" style="53" customWidth="1"/>
    <col min="15350" max="15350" width="16.28515625" style="53" customWidth="1"/>
    <col min="15351" max="15351" width="13.85546875" style="53" customWidth="1"/>
    <col min="15352" max="15594" width="9.140625" style="53"/>
    <col min="15595" max="15595" width="1.7109375" style="53" customWidth="1"/>
    <col min="15596" max="15597" width="4.7109375" style="53" customWidth="1"/>
    <col min="15598" max="15598" width="54.140625" style="53" customWidth="1"/>
    <col min="15599" max="15599" width="52" style="53" customWidth="1"/>
    <col min="15600" max="15600" width="5.28515625" style="53" customWidth="1"/>
    <col min="15601" max="15601" width="5.85546875" style="53" bestFit="1" customWidth="1"/>
    <col min="15602" max="15602" width="16.42578125" style="53" customWidth="1"/>
    <col min="15603" max="15603" width="4.5703125" style="53" customWidth="1"/>
    <col min="15604" max="15604" width="14.140625" style="53" customWidth="1"/>
    <col min="15605" max="15605" width="27.140625" style="53" customWidth="1"/>
    <col min="15606" max="15606" width="16.28515625" style="53" customWidth="1"/>
    <col min="15607" max="15607" width="13.85546875" style="53" customWidth="1"/>
    <col min="15608" max="15850" width="9.140625" style="53"/>
    <col min="15851" max="15851" width="1.7109375" style="53" customWidth="1"/>
    <col min="15852" max="15853" width="4.7109375" style="53" customWidth="1"/>
    <col min="15854" max="15854" width="54.140625" style="53" customWidth="1"/>
    <col min="15855" max="15855" width="52" style="53" customWidth="1"/>
    <col min="15856" max="15856" width="5.28515625" style="53" customWidth="1"/>
    <col min="15857" max="15857" width="5.85546875" style="53" bestFit="1" customWidth="1"/>
    <col min="15858" max="15858" width="16.42578125" style="53" customWidth="1"/>
    <col min="15859" max="15859" width="4.5703125" style="53" customWidth="1"/>
    <col min="15860" max="15860" width="14.140625" style="53" customWidth="1"/>
    <col min="15861" max="15861" width="27.140625" style="53" customWidth="1"/>
    <col min="15862" max="15862" width="16.28515625" style="53" customWidth="1"/>
    <col min="15863" max="15863" width="13.85546875" style="53" customWidth="1"/>
    <col min="15864" max="16106" width="9.140625" style="53"/>
    <col min="16107" max="16107" width="1.7109375" style="53" customWidth="1"/>
    <col min="16108" max="16109" width="4.7109375" style="53" customWidth="1"/>
    <col min="16110" max="16110" width="54.140625" style="53" customWidth="1"/>
    <col min="16111" max="16111" width="52" style="53" customWidth="1"/>
    <col min="16112" max="16112" width="5.28515625" style="53" customWidth="1"/>
    <col min="16113" max="16113" width="5.85546875" style="53" bestFit="1" customWidth="1"/>
    <col min="16114" max="16114" width="16.42578125" style="53" customWidth="1"/>
    <col min="16115" max="16115" width="4.5703125" style="53" customWidth="1"/>
    <col min="16116" max="16116" width="14.140625" style="53" customWidth="1"/>
    <col min="16117" max="16117" width="27.140625" style="53" customWidth="1"/>
    <col min="16118" max="16118" width="16.28515625" style="53" customWidth="1"/>
    <col min="16119" max="16119" width="13.85546875" style="53" customWidth="1"/>
    <col min="16120" max="16384" width="9.140625" style="53"/>
  </cols>
  <sheetData>
    <row r="2" spans="2:19" s="5" customFormat="1" ht="15.75" hidden="1" x14ac:dyDescent="0.25">
      <c r="B2" s="975"/>
      <c r="C2" s="1645" t="s">
        <v>431</v>
      </c>
      <c r="D2" s="1645"/>
      <c r="E2" s="1645"/>
      <c r="F2" s="1645"/>
      <c r="G2" s="1645"/>
      <c r="H2" s="1645"/>
      <c r="I2" s="1645"/>
      <c r="J2" s="1645"/>
      <c r="K2" s="1645"/>
      <c r="L2" s="971"/>
      <c r="M2" s="971"/>
      <c r="N2" s="451"/>
      <c r="O2" s="451"/>
      <c r="P2" s="3"/>
    </row>
    <row r="3" spans="2:19" s="5" customFormat="1" ht="13.5" customHeight="1" x14ac:dyDescent="0.25">
      <c r="B3" s="975"/>
      <c r="C3" s="1646" t="s">
        <v>513</v>
      </c>
      <c r="D3" s="1646"/>
      <c r="E3" s="1646"/>
      <c r="F3" s="1646"/>
      <c r="G3" s="1646"/>
      <c r="H3" s="1646"/>
      <c r="I3" s="1646"/>
      <c r="J3" s="1646"/>
      <c r="K3" s="1646"/>
      <c r="L3" s="1646"/>
      <c r="M3" s="1646"/>
      <c r="N3" s="1646"/>
      <c r="O3" s="972"/>
      <c r="P3" s="481"/>
    </row>
    <row r="4" spans="2:19" s="4" customFormat="1" ht="14.25" customHeight="1" x14ac:dyDescent="0.25">
      <c r="B4" s="975"/>
      <c r="C4" s="1646" t="s">
        <v>1</v>
      </c>
      <c r="D4" s="1646"/>
      <c r="E4" s="1646"/>
      <c r="F4" s="1646"/>
      <c r="G4" s="1646"/>
      <c r="H4" s="1646"/>
      <c r="I4" s="1646"/>
      <c r="J4" s="1646"/>
      <c r="K4" s="1646"/>
      <c r="L4" s="1646"/>
      <c r="M4" s="1646"/>
      <c r="N4" s="1646"/>
      <c r="O4" s="972"/>
      <c r="P4" s="481"/>
    </row>
    <row r="5" spans="2:19" s="4" customFormat="1" ht="15.75" x14ac:dyDescent="0.25">
      <c r="B5" s="975"/>
      <c r="C5" s="452"/>
      <c r="D5" s="453"/>
      <c r="E5" s="453"/>
      <c r="F5" s="453"/>
      <c r="G5" s="454"/>
      <c r="H5" s="455"/>
      <c r="I5" s="456"/>
      <c r="J5" s="457"/>
      <c r="K5" s="457"/>
      <c r="L5" s="457"/>
      <c r="M5" s="457"/>
      <c r="N5" s="458"/>
      <c r="O5" s="456"/>
      <c r="P5" s="976"/>
    </row>
    <row r="6" spans="2:19" s="4" customFormat="1" ht="18" customHeight="1" x14ac:dyDescent="0.25">
      <c r="B6" s="975"/>
      <c r="C6" s="1647" t="s">
        <v>2</v>
      </c>
      <c r="D6" s="1647"/>
      <c r="E6" s="1505" t="s">
        <v>3</v>
      </c>
      <c r="F6" s="1505"/>
      <c r="G6" s="1505"/>
      <c r="H6" s="459"/>
      <c r="I6" s="456"/>
      <c r="J6" s="457"/>
      <c r="K6" s="457"/>
      <c r="L6" s="457"/>
      <c r="M6" s="457"/>
      <c r="N6" s="458"/>
      <c r="O6" s="456"/>
      <c r="P6" s="976"/>
    </row>
    <row r="7" spans="2:19" s="4" customFormat="1" ht="8.25" customHeight="1" thickBot="1" x14ac:dyDescent="0.3">
      <c r="B7" s="975"/>
      <c r="C7" s="6"/>
      <c r="D7" s="8"/>
      <c r="E7" s="8"/>
      <c r="F7" s="8"/>
      <c r="G7" s="9"/>
      <c r="H7" s="10"/>
      <c r="I7" s="11"/>
      <c r="J7" s="12"/>
      <c r="K7" s="12"/>
      <c r="L7" s="12"/>
      <c r="M7" s="12"/>
      <c r="N7" s="7"/>
      <c r="O7" s="11"/>
      <c r="P7" s="976"/>
    </row>
    <row r="8" spans="2:19" s="15" customFormat="1" ht="32.25" customHeight="1" thickTop="1" x14ac:dyDescent="0.25">
      <c r="B8" s="13"/>
      <c r="C8" s="1648" t="s">
        <v>433</v>
      </c>
      <c r="D8" s="1649"/>
      <c r="E8" s="1650"/>
      <c r="F8" s="1654" t="s">
        <v>418</v>
      </c>
      <c r="G8" s="1650"/>
      <c r="H8" s="1656" t="s">
        <v>417</v>
      </c>
      <c r="I8" s="1658" t="s">
        <v>419</v>
      </c>
      <c r="J8" s="1662" t="s">
        <v>502</v>
      </c>
      <c r="K8" s="1660" t="s">
        <v>488</v>
      </c>
      <c r="L8" s="973" t="s">
        <v>509</v>
      </c>
      <c r="M8" s="987"/>
      <c r="N8" s="14"/>
      <c r="O8" s="1643" t="s">
        <v>469</v>
      </c>
      <c r="P8" s="441" t="s">
        <v>426</v>
      </c>
      <c r="Q8" s="16"/>
    </row>
    <row r="9" spans="2:19" s="15" customFormat="1" x14ac:dyDescent="0.25">
      <c r="B9" s="13"/>
      <c r="C9" s="1651"/>
      <c r="D9" s="1652"/>
      <c r="E9" s="1653"/>
      <c r="F9" s="1655"/>
      <c r="G9" s="1653"/>
      <c r="H9" s="1657"/>
      <c r="I9" s="1659"/>
      <c r="J9" s="1663"/>
      <c r="K9" s="1661"/>
      <c r="L9" s="974"/>
      <c r="M9" s="987"/>
      <c r="N9" s="14"/>
      <c r="O9" s="1644"/>
      <c r="P9" s="14"/>
      <c r="S9" s="17"/>
    </row>
    <row r="10" spans="2:19" s="15" customFormat="1" ht="19.5" customHeight="1" x14ac:dyDescent="0.25">
      <c r="B10" s="13"/>
      <c r="C10" s="1632">
        <v>1</v>
      </c>
      <c r="D10" s="1633"/>
      <c r="E10" s="1634"/>
      <c r="F10" s="1635">
        <v>2</v>
      </c>
      <c r="G10" s="1636"/>
      <c r="H10" s="18">
        <v>3</v>
      </c>
      <c r="I10" s="18">
        <v>4</v>
      </c>
      <c r="J10" s="607">
        <v>5</v>
      </c>
      <c r="K10" s="859">
        <v>5</v>
      </c>
      <c r="L10" s="988"/>
      <c r="M10" s="988"/>
      <c r="N10" s="20"/>
      <c r="O10" s="507"/>
      <c r="P10" s="20"/>
      <c r="Q10" s="21">
        <v>307965438271</v>
      </c>
      <c r="S10" s="17"/>
    </row>
    <row r="11" spans="2:19" s="29" customFormat="1" ht="29.25" customHeight="1" x14ac:dyDescent="0.25">
      <c r="B11" s="13"/>
      <c r="C11" s="22"/>
      <c r="D11" s="1635" t="s">
        <v>4</v>
      </c>
      <c r="E11" s="1637"/>
      <c r="F11" s="1637"/>
      <c r="G11" s="1636"/>
      <c r="H11" s="23"/>
      <c r="I11" s="24"/>
      <c r="J11" s="608">
        <f>J12</f>
        <v>36350000000</v>
      </c>
      <c r="K11" s="25">
        <f>K12</f>
        <v>36350000000</v>
      </c>
      <c r="L11" s="989"/>
      <c r="M11" s="989"/>
      <c r="N11" s="26"/>
      <c r="O11" s="508"/>
      <c r="P11" s="485">
        <f>SUM(P12:P44)</f>
        <v>0</v>
      </c>
      <c r="Q11" s="27">
        <f>Q10-K11</f>
        <v>271615438271</v>
      </c>
      <c r="R11" s="28"/>
    </row>
    <row r="12" spans="2:19" s="15" customFormat="1" ht="61.5" customHeight="1" x14ac:dyDescent="0.25">
      <c r="B12" s="13"/>
      <c r="C12" s="1508" t="s">
        <v>455</v>
      </c>
      <c r="D12" s="1509"/>
      <c r="E12" s="1558" t="s">
        <v>252</v>
      </c>
      <c r="F12" s="1559"/>
      <c r="G12" s="1560"/>
      <c r="H12" s="231" t="s">
        <v>253</v>
      </c>
      <c r="I12" s="282"/>
      <c r="J12" s="649">
        <f>J13+J17+J20+J23+J26+J30+J33+J36+J40+J43</f>
        <v>36350000000</v>
      </c>
      <c r="K12" s="283">
        <f>K13+K17+K20+K23+K26+K30+K33+K36+K40+K43</f>
        <v>36350000000</v>
      </c>
      <c r="L12" s="1005"/>
      <c r="M12" s="1005"/>
      <c r="N12" s="104"/>
      <c r="O12" s="529"/>
      <c r="P12" s="14"/>
      <c r="Q12" s="16"/>
      <c r="R12" s="21">
        <v>42276082971</v>
      </c>
    </row>
    <row r="13" spans="2:19" s="62" customFormat="1" ht="20.25" customHeight="1" x14ac:dyDescent="0.25">
      <c r="B13" s="59"/>
      <c r="C13" s="313"/>
      <c r="D13" s="314"/>
      <c r="E13" s="315" t="s">
        <v>5</v>
      </c>
      <c r="F13" s="1561" t="s">
        <v>254</v>
      </c>
      <c r="G13" s="1562"/>
      <c r="H13" s="316" t="s">
        <v>255</v>
      </c>
      <c r="I13" s="317"/>
      <c r="J13" s="657">
        <f>SUM(J14:J16)</f>
        <v>10935000000</v>
      </c>
      <c r="K13" s="318">
        <f>SUM(K14:K16)</f>
        <v>10935000000</v>
      </c>
      <c r="L13" s="319"/>
      <c r="M13" s="319"/>
      <c r="N13" s="319"/>
      <c r="O13" s="541"/>
      <c r="P13" s="504"/>
      <c r="Q13" s="63"/>
    </row>
    <row r="14" spans="2:19" s="113" customFormat="1" ht="17.25" customHeight="1" x14ac:dyDescent="0.25">
      <c r="B14" s="59"/>
      <c r="C14" s="320"/>
      <c r="D14" s="321"/>
      <c r="E14" s="322"/>
      <c r="F14" s="64" t="s">
        <v>46</v>
      </c>
      <c r="G14" s="679" t="s">
        <v>256</v>
      </c>
      <c r="H14" s="544" t="s">
        <v>257</v>
      </c>
      <c r="I14" s="324">
        <v>7.0000000000000007E-2</v>
      </c>
      <c r="J14" s="658">
        <f>10000000000+635000000</f>
        <v>10635000000</v>
      </c>
      <c r="K14" s="325">
        <f>10000000000+635000000</f>
        <v>10635000000</v>
      </c>
      <c r="L14" s="67"/>
      <c r="M14" s="67"/>
      <c r="N14" s="67"/>
      <c r="O14" s="542"/>
      <c r="P14" s="490"/>
      <c r="Q14" s="151"/>
    </row>
    <row r="15" spans="2:19" s="113" customFormat="1" ht="24" customHeight="1" x14ac:dyDescent="0.2">
      <c r="B15" s="59"/>
      <c r="C15" s="320"/>
      <c r="D15" s="321"/>
      <c r="E15" s="322"/>
      <c r="F15" s="64" t="s">
        <v>46</v>
      </c>
      <c r="G15" s="679" t="s">
        <v>258</v>
      </c>
      <c r="H15" s="326" t="s">
        <v>259</v>
      </c>
      <c r="I15" s="327">
        <v>1</v>
      </c>
      <c r="J15" s="616">
        <v>300000000</v>
      </c>
      <c r="K15" s="66">
        <v>300000000</v>
      </c>
      <c r="L15" s="67"/>
      <c r="M15" s="67"/>
      <c r="N15" s="67"/>
      <c r="O15" s="514"/>
      <c r="P15" s="490"/>
      <c r="Q15" s="151"/>
    </row>
    <row r="16" spans="2:19" s="113" customFormat="1" ht="15.75" hidden="1" customHeight="1" x14ac:dyDescent="0.2">
      <c r="B16" s="59"/>
      <c r="C16" s="320"/>
      <c r="D16" s="321"/>
      <c r="E16" s="322"/>
      <c r="F16" s="64" t="s">
        <v>46</v>
      </c>
      <c r="G16" s="323" t="s">
        <v>260</v>
      </c>
      <c r="H16" s="328" t="s">
        <v>470</v>
      </c>
      <c r="I16" s="327">
        <v>1</v>
      </c>
      <c r="J16" s="658">
        <v>0</v>
      </c>
      <c r="K16" s="325"/>
      <c r="L16" s="67"/>
      <c r="M16" s="67"/>
      <c r="N16" s="67"/>
      <c r="O16" s="514"/>
      <c r="P16" s="490"/>
      <c r="Q16" s="151"/>
    </row>
    <row r="17" spans="2:17" s="62" customFormat="1" ht="28.5" customHeight="1" x14ac:dyDescent="0.25">
      <c r="B17" s="59"/>
      <c r="C17" s="78"/>
      <c r="D17" s="45"/>
      <c r="E17" s="329" t="s">
        <v>10</v>
      </c>
      <c r="F17" s="1563" t="s">
        <v>261</v>
      </c>
      <c r="G17" s="1564"/>
      <c r="H17" s="74" t="s">
        <v>262</v>
      </c>
      <c r="I17" s="330"/>
      <c r="J17" s="659">
        <f>SUM(J18:J19)</f>
        <v>5175000000</v>
      </c>
      <c r="K17" s="331">
        <f>SUM(K18:K19)</f>
        <v>5175000000</v>
      </c>
      <c r="L17" s="319"/>
      <c r="M17" s="319"/>
      <c r="N17" s="319"/>
      <c r="O17" s="543"/>
      <c r="P17" s="504"/>
      <c r="Q17" s="63"/>
    </row>
    <row r="18" spans="2:17" s="113" customFormat="1" ht="15.75" customHeight="1" x14ac:dyDescent="0.2">
      <c r="B18" s="59"/>
      <c r="C18" s="320"/>
      <c r="D18" s="321"/>
      <c r="E18" s="322"/>
      <c r="F18" s="64" t="s">
        <v>46</v>
      </c>
      <c r="G18" s="679" t="s">
        <v>408</v>
      </c>
      <c r="H18" s="326" t="s">
        <v>263</v>
      </c>
      <c r="I18" s="327">
        <v>0.57999999999999996</v>
      </c>
      <c r="J18" s="616">
        <f>5000000000</f>
        <v>5000000000</v>
      </c>
      <c r="K18" s="66">
        <f>5000000000</f>
        <v>5000000000</v>
      </c>
      <c r="L18" s="67"/>
      <c r="M18" s="67"/>
      <c r="N18" s="67"/>
      <c r="O18" s="514"/>
      <c r="P18" s="490"/>
      <c r="Q18" s="151"/>
    </row>
    <row r="19" spans="2:17" s="113" customFormat="1" ht="27.75" customHeight="1" x14ac:dyDescent="0.2">
      <c r="B19" s="59"/>
      <c r="C19" s="320"/>
      <c r="D19" s="321"/>
      <c r="E19" s="322"/>
      <c r="F19" s="64" t="s">
        <v>46</v>
      </c>
      <c r="G19" s="679" t="s">
        <v>407</v>
      </c>
      <c r="H19" s="326" t="s">
        <v>264</v>
      </c>
      <c r="I19" s="327">
        <v>1</v>
      </c>
      <c r="J19" s="616">
        <v>175000000</v>
      </c>
      <c r="K19" s="66">
        <v>175000000</v>
      </c>
      <c r="L19" s="67"/>
      <c r="M19" s="67"/>
      <c r="N19" s="67"/>
      <c r="O19" s="514"/>
      <c r="P19" s="490"/>
      <c r="Q19" s="151"/>
    </row>
    <row r="20" spans="2:17" s="62" customFormat="1" ht="27" customHeight="1" x14ac:dyDescent="0.25">
      <c r="B20" s="59"/>
      <c r="C20" s="827"/>
      <c r="D20" s="828"/>
      <c r="E20" s="829" t="s">
        <v>13</v>
      </c>
      <c r="F20" s="1552" t="s">
        <v>265</v>
      </c>
      <c r="G20" s="1553"/>
      <c r="H20" s="830" t="s">
        <v>464</v>
      </c>
      <c r="I20" s="831"/>
      <c r="J20" s="832">
        <f>SUM(J21:J22)</f>
        <v>1000000000</v>
      </c>
      <c r="K20" s="833">
        <f>SUM(K21:K22)</f>
        <v>500000000</v>
      </c>
      <c r="L20" s="1010"/>
      <c r="M20" s="1010"/>
      <c r="N20" s="319"/>
      <c r="O20" s="543"/>
      <c r="P20" s="504"/>
      <c r="Q20" s="63"/>
    </row>
    <row r="21" spans="2:17" s="62" customFormat="1" ht="25.5" customHeight="1" x14ac:dyDescent="0.25">
      <c r="B21" s="59"/>
      <c r="C21" s="78"/>
      <c r="D21" s="45"/>
      <c r="E21" s="333"/>
      <c r="F21" s="301" t="s">
        <v>46</v>
      </c>
      <c r="G21" s="679" t="s">
        <v>266</v>
      </c>
      <c r="H21" s="678" t="s">
        <v>267</v>
      </c>
      <c r="I21" s="68">
        <v>1</v>
      </c>
      <c r="J21" s="616">
        <v>500000000</v>
      </c>
      <c r="K21" s="66">
        <v>500000000</v>
      </c>
      <c r="L21" s="67"/>
      <c r="M21" s="67"/>
      <c r="N21" s="67"/>
      <c r="O21" s="514"/>
      <c r="P21" s="490"/>
      <c r="Q21" s="63"/>
    </row>
    <row r="22" spans="2:17" s="229" customFormat="1" ht="21" customHeight="1" x14ac:dyDescent="0.25">
      <c r="B22" s="59"/>
      <c r="C22" s="334"/>
      <c r="D22" s="335"/>
      <c r="E22" s="336"/>
      <c r="F22" s="301" t="s">
        <v>46</v>
      </c>
      <c r="G22" s="679" t="s">
        <v>268</v>
      </c>
      <c r="H22" s="678" t="s">
        <v>269</v>
      </c>
      <c r="I22" s="68">
        <v>1</v>
      </c>
      <c r="J22" s="616">
        <v>500000000</v>
      </c>
      <c r="K22" s="66">
        <v>0</v>
      </c>
      <c r="L22" s="67"/>
      <c r="M22" s="67"/>
      <c r="N22" s="67"/>
      <c r="O22" s="514"/>
      <c r="P22" s="490"/>
      <c r="Q22" s="309"/>
    </row>
    <row r="23" spans="2:17" s="29" customFormat="1" ht="26.25" customHeight="1" x14ac:dyDescent="0.25">
      <c r="B23" s="13"/>
      <c r="C23" s="834"/>
      <c r="D23" s="599"/>
      <c r="E23" s="599" t="s">
        <v>16</v>
      </c>
      <c r="F23" s="1554" t="s">
        <v>270</v>
      </c>
      <c r="G23" s="1555"/>
      <c r="H23" s="835" t="s">
        <v>271</v>
      </c>
      <c r="I23" s="836"/>
      <c r="J23" s="615">
        <f>J24+J25</f>
        <v>1045000000</v>
      </c>
      <c r="K23" s="600">
        <f>K24+K25</f>
        <v>1545000000</v>
      </c>
      <c r="L23" s="1011"/>
      <c r="M23" s="1011"/>
      <c r="N23" s="61"/>
      <c r="O23" s="536"/>
      <c r="P23" s="489"/>
      <c r="Q23" s="63"/>
    </row>
    <row r="24" spans="2:17" s="29" customFormat="1" ht="27" customHeight="1" x14ac:dyDescent="0.25">
      <c r="B24" s="13"/>
      <c r="C24" s="87"/>
      <c r="D24" s="109"/>
      <c r="E24" s="109"/>
      <c r="F24" s="301" t="s">
        <v>46</v>
      </c>
      <c r="G24" s="679" t="s">
        <v>272</v>
      </c>
      <c r="H24" s="678" t="s">
        <v>273</v>
      </c>
      <c r="I24" s="436">
        <v>1</v>
      </c>
      <c r="J24" s="618">
        <v>1000000000</v>
      </c>
      <c r="K24" s="73">
        <f>1000000000+500000000</f>
        <v>1500000000</v>
      </c>
      <c r="L24" s="67"/>
      <c r="M24" s="67"/>
      <c r="N24" s="67"/>
      <c r="O24" s="537"/>
      <c r="P24" s="490"/>
      <c r="Q24" s="63"/>
    </row>
    <row r="25" spans="2:17" s="29" customFormat="1" ht="27" customHeight="1" x14ac:dyDescent="0.25">
      <c r="B25" s="13"/>
      <c r="C25" s="87"/>
      <c r="D25" s="109"/>
      <c r="E25" s="109"/>
      <c r="F25" s="301" t="s">
        <v>46</v>
      </c>
      <c r="G25" s="679" t="s">
        <v>274</v>
      </c>
      <c r="H25" s="678" t="s">
        <v>274</v>
      </c>
      <c r="I25" s="68">
        <v>1</v>
      </c>
      <c r="J25" s="616">
        <v>45000000</v>
      </c>
      <c r="K25" s="66">
        <v>45000000</v>
      </c>
      <c r="L25" s="67"/>
      <c r="M25" s="67"/>
      <c r="N25" s="67"/>
      <c r="O25" s="514"/>
      <c r="P25" s="490"/>
      <c r="Q25" s="63"/>
    </row>
    <row r="26" spans="2:17" s="62" customFormat="1" ht="31.5" customHeight="1" x14ac:dyDescent="0.25">
      <c r="B26" s="59"/>
      <c r="C26" s="78"/>
      <c r="D26" s="45"/>
      <c r="E26" s="329" t="s">
        <v>19</v>
      </c>
      <c r="F26" s="1548" t="s">
        <v>275</v>
      </c>
      <c r="G26" s="1549"/>
      <c r="H26" s="433" t="s">
        <v>276</v>
      </c>
      <c r="I26" s="435"/>
      <c r="J26" s="660">
        <f>SUM(J27:J29)</f>
        <v>8750000000</v>
      </c>
      <c r="K26" s="60">
        <f>SUM(K27:K29)</f>
        <v>8750000000</v>
      </c>
      <c r="L26" s="61"/>
      <c r="M26" s="61"/>
      <c r="N26" s="61"/>
      <c r="O26" s="536"/>
      <c r="P26" s="489"/>
      <c r="Q26" s="63"/>
    </row>
    <row r="27" spans="2:17" s="62" customFormat="1" ht="15.75" customHeight="1" x14ac:dyDescent="0.25">
      <c r="B27" s="59"/>
      <c r="C27" s="78"/>
      <c r="D27" s="45"/>
      <c r="E27" s="333"/>
      <c r="F27" s="64" t="s">
        <v>46</v>
      </c>
      <c r="G27" s="679" t="s">
        <v>277</v>
      </c>
      <c r="H27" s="678" t="s">
        <v>278</v>
      </c>
      <c r="I27" s="435">
        <v>1</v>
      </c>
      <c r="J27" s="616">
        <v>8405000000</v>
      </c>
      <c r="K27" s="66">
        <v>8405000000</v>
      </c>
      <c r="L27" s="67"/>
      <c r="M27" s="67"/>
      <c r="N27" s="67"/>
      <c r="O27" s="536"/>
      <c r="P27" s="490"/>
      <c r="Q27" s="63"/>
    </row>
    <row r="28" spans="2:17" s="62" customFormat="1" ht="27" customHeight="1" x14ac:dyDescent="0.2">
      <c r="B28" s="59"/>
      <c r="C28" s="78"/>
      <c r="D28" s="45"/>
      <c r="E28" s="333"/>
      <c r="F28" s="64" t="s">
        <v>46</v>
      </c>
      <c r="G28" s="679" t="s">
        <v>279</v>
      </c>
      <c r="H28" s="337" t="s">
        <v>280</v>
      </c>
      <c r="I28" s="435">
        <v>1</v>
      </c>
      <c r="J28" s="616">
        <v>245000000</v>
      </c>
      <c r="K28" s="66">
        <v>245000000</v>
      </c>
      <c r="L28" s="67"/>
      <c r="M28" s="67"/>
      <c r="N28" s="67"/>
      <c r="O28" s="536"/>
      <c r="P28" s="490"/>
      <c r="Q28" s="63"/>
    </row>
    <row r="29" spans="2:17" s="62" customFormat="1" ht="15.75" customHeight="1" x14ac:dyDescent="0.25">
      <c r="B29" s="59"/>
      <c r="C29" s="78"/>
      <c r="D29" s="45"/>
      <c r="E29" s="333"/>
      <c r="F29" s="64" t="s">
        <v>46</v>
      </c>
      <c r="G29" s="679" t="s">
        <v>281</v>
      </c>
      <c r="H29" s="678" t="s">
        <v>282</v>
      </c>
      <c r="I29" s="68">
        <v>1</v>
      </c>
      <c r="J29" s="616">
        <v>100000000</v>
      </c>
      <c r="K29" s="66">
        <v>100000000</v>
      </c>
      <c r="L29" s="67"/>
      <c r="M29" s="67"/>
      <c r="N29" s="67"/>
      <c r="O29" s="514"/>
      <c r="P29" s="490"/>
      <c r="Q29" s="63"/>
    </row>
    <row r="30" spans="2:17" s="29" customFormat="1" ht="26.25" customHeight="1" x14ac:dyDescent="0.25">
      <c r="B30" s="13"/>
      <c r="C30" s="87"/>
      <c r="D30" s="109"/>
      <c r="E30" s="109" t="s">
        <v>27</v>
      </c>
      <c r="F30" s="1548" t="s">
        <v>283</v>
      </c>
      <c r="G30" s="1549"/>
      <c r="H30" s="433" t="s">
        <v>284</v>
      </c>
      <c r="I30" s="435"/>
      <c r="J30" s="660">
        <f>J31+J32</f>
        <v>1045000000</v>
      </c>
      <c r="K30" s="60">
        <f>K31+K32</f>
        <v>1045000000</v>
      </c>
      <c r="L30" s="61"/>
      <c r="M30" s="61"/>
      <c r="N30" s="61"/>
      <c r="O30" s="536"/>
      <c r="P30" s="489"/>
      <c r="Q30" s="63"/>
    </row>
    <row r="31" spans="2:17" s="29" customFormat="1" x14ac:dyDescent="0.25">
      <c r="B31" s="13"/>
      <c r="C31" s="87"/>
      <c r="D31" s="109"/>
      <c r="E31" s="109"/>
      <c r="F31" s="64" t="s">
        <v>46</v>
      </c>
      <c r="G31" s="679" t="s">
        <v>285</v>
      </c>
      <c r="H31" s="678" t="s">
        <v>286</v>
      </c>
      <c r="I31" s="436">
        <v>1</v>
      </c>
      <c r="J31" s="618">
        <v>1000000000</v>
      </c>
      <c r="K31" s="73">
        <v>1000000000</v>
      </c>
      <c r="L31" s="67"/>
      <c r="M31" s="67"/>
      <c r="N31" s="67"/>
      <c r="O31" s="537"/>
      <c r="P31" s="490"/>
      <c r="Q31" s="63"/>
    </row>
    <row r="32" spans="2:17" s="29" customFormat="1" ht="29.25" customHeight="1" x14ac:dyDescent="0.25">
      <c r="B32" s="13"/>
      <c r="C32" s="87"/>
      <c r="D32" s="109"/>
      <c r="E32" s="109"/>
      <c r="F32" s="301" t="s">
        <v>46</v>
      </c>
      <c r="G32" s="679" t="s">
        <v>287</v>
      </c>
      <c r="H32" s="678" t="s">
        <v>288</v>
      </c>
      <c r="I32" s="68">
        <v>1</v>
      </c>
      <c r="J32" s="618">
        <v>45000000</v>
      </c>
      <c r="K32" s="73">
        <v>45000000</v>
      </c>
      <c r="L32" s="67"/>
      <c r="M32" s="67"/>
      <c r="N32" s="67"/>
      <c r="O32" s="514"/>
      <c r="P32" s="490"/>
      <c r="Q32" s="63"/>
    </row>
    <row r="33" spans="2:17" s="29" customFormat="1" ht="23.25" customHeight="1" x14ac:dyDescent="0.25">
      <c r="B33" s="13"/>
      <c r="C33" s="87"/>
      <c r="D33" s="109"/>
      <c r="E33" s="109" t="s">
        <v>30</v>
      </c>
      <c r="F33" s="1548" t="s">
        <v>289</v>
      </c>
      <c r="G33" s="1549"/>
      <c r="H33" s="433" t="s">
        <v>290</v>
      </c>
      <c r="I33" s="435">
        <v>1</v>
      </c>
      <c r="J33" s="660">
        <f>J34+J35</f>
        <v>3500000000</v>
      </c>
      <c r="K33" s="60">
        <f>K34+K35</f>
        <v>3500000000</v>
      </c>
      <c r="L33" s="61"/>
      <c r="M33" s="61"/>
      <c r="N33" s="61"/>
      <c r="O33" s="536"/>
      <c r="P33" s="489"/>
      <c r="Q33" s="63" t="s">
        <v>291</v>
      </c>
    </row>
    <row r="34" spans="2:17" s="29" customFormat="1" ht="22.5" customHeight="1" x14ac:dyDescent="0.25">
      <c r="B34" s="13"/>
      <c r="C34" s="54"/>
      <c r="D34" s="55"/>
      <c r="E34" s="55"/>
      <c r="F34" s="301" t="s">
        <v>46</v>
      </c>
      <c r="G34" s="679" t="s">
        <v>292</v>
      </c>
      <c r="H34" s="678" t="s">
        <v>293</v>
      </c>
      <c r="I34" s="437">
        <v>1</v>
      </c>
      <c r="J34" s="618">
        <f>3500000000-125000000</f>
        <v>3375000000</v>
      </c>
      <c r="K34" s="73">
        <f>3500000000-125000000</f>
        <v>3375000000</v>
      </c>
      <c r="L34" s="67"/>
      <c r="M34" s="67"/>
      <c r="N34" s="67"/>
      <c r="O34" s="538"/>
      <c r="P34" s="490"/>
      <c r="Q34" s="63" t="s">
        <v>427</v>
      </c>
    </row>
    <row r="35" spans="2:17" s="29" customFormat="1" ht="24" customHeight="1" x14ac:dyDescent="0.25">
      <c r="B35" s="13"/>
      <c r="C35" s="87"/>
      <c r="D35" s="109"/>
      <c r="E35" s="109"/>
      <c r="F35" s="301" t="s">
        <v>46</v>
      </c>
      <c r="G35" s="679" t="s">
        <v>294</v>
      </c>
      <c r="H35" s="678" t="s">
        <v>295</v>
      </c>
      <c r="I35" s="68">
        <v>1</v>
      </c>
      <c r="J35" s="616">
        <v>125000000</v>
      </c>
      <c r="K35" s="66">
        <v>125000000</v>
      </c>
      <c r="L35" s="67"/>
      <c r="M35" s="67"/>
      <c r="N35" s="67"/>
      <c r="O35" s="514"/>
      <c r="P35" s="490"/>
      <c r="Q35" s="63"/>
    </row>
    <row r="36" spans="2:17" s="29" customFormat="1" ht="23.25" customHeight="1" x14ac:dyDescent="0.25">
      <c r="B36" s="13"/>
      <c r="C36" s="54"/>
      <c r="D36" s="55"/>
      <c r="E36" s="55" t="s">
        <v>8</v>
      </c>
      <c r="F36" s="1548" t="s">
        <v>296</v>
      </c>
      <c r="G36" s="1549"/>
      <c r="H36" s="69" t="s">
        <v>297</v>
      </c>
      <c r="I36" s="70"/>
      <c r="J36" s="617">
        <f>SUM(J37:J39)</f>
        <v>1600000000</v>
      </c>
      <c r="K36" s="71">
        <f>SUM(K37:K39)</f>
        <v>1600000000</v>
      </c>
      <c r="L36" s="61"/>
      <c r="M36" s="61"/>
      <c r="N36" s="61"/>
      <c r="O36" s="562"/>
      <c r="P36" s="489"/>
      <c r="Q36" s="63"/>
    </row>
    <row r="37" spans="2:17" s="29" customFormat="1" ht="26.25" customHeight="1" x14ac:dyDescent="0.25">
      <c r="B37" s="13"/>
      <c r="C37" s="54"/>
      <c r="D37" s="55"/>
      <c r="E37" s="55"/>
      <c r="F37" s="301" t="s">
        <v>46</v>
      </c>
      <c r="G37" s="679" t="s">
        <v>499</v>
      </c>
      <c r="H37" s="678" t="s">
        <v>500</v>
      </c>
      <c r="I37" s="72">
        <v>1</v>
      </c>
      <c r="J37" s="618">
        <v>1490000000</v>
      </c>
      <c r="K37" s="73">
        <v>1490000000</v>
      </c>
      <c r="L37" s="67"/>
      <c r="M37" s="67"/>
      <c r="N37" s="67"/>
      <c r="O37" s="563"/>
      <c r="P37" s="490"/>
      <c r="Q37" s="63"/>
    </row>
    <row r="38" spans="2:17" s="29" customFormat="1" ht="24.75" customHeight="1" x14ac:dyDescent="0.25">
      <c r="B38" s="13"/>
      <c r="C38" s="54"/>
      <c r="D38" s="55"/>
      <c r="E38" s="55"/>
      <c r="F38" s="301" t="s">
        <v>46</v>
      </c>
      <c r="G38" s="679" t="s">
        <v>298</v>
      </c>
      <c r="H38" s="678" t="s">
        <v>299</v>
      </c>
      <c r="I38" s="72">
        <v>1</v>
      </c>
      <c r="J38" s="618">
        <v>50000000</v>
      </c>
      <c r="K38" s="73">
        <v>50000000</v>
      </c>
      <c r="L38" s="67"/>
      <c r="M38" s="67"/>
      <c r="N38" s="67"/>
      <c r="O38" s="563"/>
      <c r="P38" s="490"/>
      <c r="Q38" s="63"/>
    </row>
    <row r="39" spans="2:17" s="29" customFormat="1" ht="33.75" customHeight="1" x14ac:dyDescent="0.25">
      <c r="B39" s="13"/>
      <c r="C39" s="54"/>
      <c r="D39" s="55"/>
      <c r="E39" s="55"/>
      <c r="F39" s="301" t="s">
        <v>46</v>
      </c>
      <c r="G39" s="679" t="s">
        <v>300</v>
      </c>
      <c r="H39" s="678" t="s">
        <v>301</v>
      </c>
      <c r="I39" s="72">
        <v>1</v>
      </c>
      <c r="J39" s="618">
        <v>60000000</v>
      </c>
      <c r="K39" s="73">
        <v>60000000</v>
      </c>
      <c r="L39" s="67"/>
      <c r="M39" s="67"/>
      <c r="N39" s="67"/>
      <c r="O39" s="563"/>
      <c r="P39" s="490"/>
      <c r="Q39" s="63"/>
    </row>
    <row r="40" spans="2:17" s="349" customFormat="1" ht="23.25" customHeight="1" x14ac:dyDescent="0.25">
      <c r="B40" s="339"/>
      <c r="C40" s="347"/>
      <c r="D40" s="55"/>
      <c r="E40" s="55" t="s">
        <v>22</v>
      </c>
      <c r="F40" s="1550" t="s">
        <v>302</v>
      </c>
      <c r="G40" s="1551"/>
      <c r="H40" s="967" t="s">
        <v>303</v>
      </c>
      <c r="I40" s="439"/>
      <c r="J40" s="617">
        <f>SUM(J41:J42)</f>
        <v>3100000000</v>
      </c>
      <c r="K40" s="71">
        <f>SUM(K41:K42)</f>
        <v>3100000000</v>
      </c>
      <c r="L40" s="61"/>
      <c r="M40" s="61"/>
      <c r="N40" s="61"/>
      <c r="O40" s="564"/>
      <c r="P40" s="489"/>
      <c r="Q40" s="350"/>
    </row>
    <row r="41" spans="2:17" s="343" customFormat="1" ht="15" customHeight="1" x14ac:dyDescent="0.25">
      <c r="B41" s="339"/>
      <c r="C41" s="340"/>
      <c r="D41" s="341"/>
      <c r="E41" s="341"/>
      <c r="F41" s="351" t="s">
        <v>46</v>
      </c>
      <c r="G41" s="131" t="s">
        <v>304</v>
      </c>
      <c r="H41" s="342" t="s">
        <v>305</v>
      </c>
      <c r="I41" s="438">
        <v>1</v>
      </c>
      <c r="J41" s="618">
        <v>3000000000</v>
      </c>
      <c r="K41" s="73">
        <v>3000000000</v>
      </c>
      <c r="L41" s="67"/>
      <c r="M41" s="67"/>
      <c r="N41" s="67"/>
      <c r="O41" s="565"/>
      <c r="P41" s="490"/>
      <c r="Q41" s="344"/>
    </row>
    <row r="42" spans="2:17" s="343" customFormat="1" ht="12.75" customHeight="1" x14ac:dyDescent="0.25">
      <c r="B42" s="339"/>
      <c r="C42" s="340"/>
      <c r="D42" s="341"/>
      <c r="E42" s="341"/>
      <c r="F42" s="351" t="s">
        <v>46</v>
      </c>
      <c r="G42" s="131" t="s">
        <v>306</v>
      </c>
      <c r="H42" s="342" t="s">
        <v>307</v>
      </c>
      <c r="I42" s="438">
        <v>1</v>
      </c>
      <c r="J42" s="618">
        <v>100000000</v>
      </c>
      <c r="K42" s="73">
        <v>100000000</v>
      </c>
      <c r="L42" s="67"/>
      <c r="M42" s="67"/>
      <c r="N42" s="67"/>
      <c r="O42" s="565"/>
      <c r="P42" s="490"/>
      <c r="Q42" s="344"/>
    </row>
    <row r="43" spans="2:17" s="29" customFormat="1" ht="26.25" customHeight="1" x14ac:dyDescent="0.25">
      <c r="B43" s="13"/>
      <c r="C43" s="87"/>
      <c r="D43" s="109"/>
      <c r="E43" s="109">
        <v>10</v>
      </c>
      <c r="F43" s="1542" t="s">
        <v>324</v>
      </c>
      <c r="G43" s="1543"/>
      <c r="H43" s="352" t="s">
        <v>325</v>
      </c>
      <c r="I43" s="353">
        <v>1</v>
      </c>
      <c r="J43" s="660">
        <v>200000000</v>
      </c>
      <c r="K43" s="60">
        <v>200000000</v>
      </c>
      <c r="L43" s="61"/>
      <c r="M43" s="61"/>
      <c r="N43" s="61"/>
      <c r="O43" s="567"/>
      <c r="P43" s="489"/>
      <c r="Q43" s="28"/>
    </row>
    <row r="44" spans="2:17" ht="3" customHeight="1" x14ac:dyDescent="0.25">
      <c r="C44" s="95"/>
      <c r="D44" s="96"/>
      <c r="E44" s="96"/>
      <c r="F44" s="1540"/>
      <c r="G44" s="1541"/>
      <c r="H44" s="355"/>
      <c r="I44" s="356"/>
      <c r="J44" s="661"/>
      <c r="K44" s="357"/>
      <c r="L44" s="1013"/>
      <c r="M44" s="1013"/>
      <c r="N44" s="358"/>
      <c r="O44" s="570"/>
      <c r="P44" s="505"/>
    </row>
    <row r="47" spans="2:17" x14ac:dyDescent="0.25">
      <c r="J47" s="1736" t="s">
        <v>514</v>
      </c>
      <c r="K47" s="1736"/>
    </row>
    <row r="48" spans="2:17" x14ac:dyDescent="0.25">
      <c r="J48" s="1736" t="s">
        <v>515</v>
      </c>
      <c r="K48" s="1736"/>
    </row>
    <row r="49" spans="10:11" x14ac:dyDescent="0.25">
      <c r="J49" s="12"/>
      <c r="K49" s="12"/>
    </row>
    <row r="50" spans="10:11" x14ac:dyDescent="0.25">
      <c r="J50" s="12"/>
      <c r="K50" s="12"/>
    </row>
    <row r="51" spans="10:11" x14ac:dyDescent="0.25">
      <c r="J51" s="12"/>
      <c r="K51" s="12"/>
    </row>
    <row r="52" spans="10:11" x14ac:dyDescent="0.25">
      <c r="J52" s="12"/>
      <c r="K52" s="12"/>
    </row>
    <row r="53" spans="10:11" x14ac:dyDescent="0.25">
      <c r="J53" s="1737" t="s">
        <v>516</v>
      </c>
      <c r="K53" s="1737"/>
    </row>
    <row r="54" spans="10:11" x14ac:dyDescent="0.25">
      <c r="J54" s="1736" t="s">
        <v>517</v>
      </c>
      <c r="K54" s="1736"/>
    </row>
  </sheetData>
  <mergeCells count="32">
    <mergeCell ref="C2:K2"/>
    <mergeCell ref="C3:N3"/>
    <mergeCell ref="C4:N4"/>
    <mergeCell ref="C6:D6"/>
    <mergeCell ref="E6:G6"/>
    <mergeCell ref="K8:K9"/>
    <mergeCell ref="O8:O9"/>
    <mergeCell ref="C10:E10"/>
    <mergeCell ref="F10:G10"/>
    <mergeCell ref="D11:G11"/>
    <mergeCell ref="C8:E9"/>
    <mergeCell ref="F8:G9"/>
    <mergeCell ref="H8:H9"/>
    <mergeCell ref="I8:I9"/>
    <mergeCell ref="J8:J9"/>
    <mergeCell ref="F40:G40"/>
    <mergeCell ref="C12:D12"/>
    <mergeCell ref="E12:G12"/>
    <mergeCell ref="F13:G13"/>
    <mergeCell ref="F17:G17"/>
    <mergeCell ref="F20:G20"/>
    <mergeCell ref="F23:G23"/>
    <mergeCell ref="F26:G26"/>
    <mergeCell ref="F30:G30"/>
    <mergeCell ref="F33:G33"/>
    <mergeCell ref="F36:G36"/>
    <mergeCell ref="J47:K47"/>
    <mergeCell ref="J48:K48"/>
    <mergeCell ref="J53:K53"/>
    <mergeCell ref="J54:K54"/>
    <mergeCell ref="F43:G43"/>
    <mergeCell ref="F44:G44"/>
  </mergeCells>
  <printOptions horizontalCentered="1"/>
  <pageMargins left="0.43307086614173229" right="0.43307086614173229" top="0.59055118110236227" bottom="0.39370078740157483" header="0" footer="0"/>
  <pageSetup paperSize="258" scale="78" fitToHeight="0" orientation="landscape" useFirstPageNumber="1" r:id="rId1"/>
  <headerFooter>
    <oddFooter>&amp;L&amp;"Cambria,Italic"&amp;7&amp;K05-049&amp;F / &amp;A&amp;C&amp;"Cambria,Italic"&amp;7&amp;K04-021Hal &amp;P dari &amp;N&amp;R&amp;"-,Italic"&amp;7&amp;K09-022&amp;D /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40</vt:i4>
      </vt:variant>
    </vt:vector>
  </HeadingPairs>
  <TitlesOfParts>
    <vt:vector size="63" baseType="lpstr">
      <vt:lpstr>PUPR</vt:lpstr>
      <vt:lpstr>Gbg</vt:lpstr>
      <vt:lpstr>prog</vt:lpstr>
      <vt:lpstr>P3D</vt:lpstr>
      <vt:lpstr>ak</vt:lpstr>
      <vt:lpstr>BW</vt:lpstr>
      <vt:lpstr>Pindah</vt:lpstr>
      <vt:lpstr>PUPR (2)</vt:lpstr>
      <vt:lpstr>Pindah Perkimtan</vt:lpstr>
      <vt:lpstr>PUPR++</vt:lpstr>
      <vt:lpstr>prog++</vt:lpstr>
      <vt:lpstr>Gbg++</vt:lpstr>
      <vt:lpstr>ges++</vt:lpstr>
      <vt:lpstr>Ranperda</vt:lpstr>
      <vt:lpstr>Gbg+100</vt:lpstr>
      <vt:lpstr>ges+100</vt:lpstr>
      <vt:lpstr>prog+100</vt:lpstr>
      <vt:lpstr>ges+</vt:lpstr>
      <vt:lpstr>ges+15</vt:lpstr>
      <vt:lpstr>+++++</vt:lpstr>
      <vt:lpstr>ges+15 (2)</vt:lpstr>
      <vt:lpstr>ges+15 (3)</vt:lpstr>
      <vt:lpstr>ges+15 (4)</vt:lpstr>
      <vt:lpstr>'+++++'!Print_Area</vt:lpstr>
      <vt:lpstr>ak!Print_Area</vt:lpstr>
      <vt:lpstr>BW!Print_Area</vt:lpstr>
      <vt:lpstr>Gbg!Print_Area</vt:lpstr>
      <vt:lpstr>'Gbg++'!Print_Area</vt:lpstr>
      <vt:lpstr>'Gbg+100'!Print_Area</vt:lpstr>
      <vt:lpstr>'ges+'!Print_Area</vt:lpstr>
      <vt:lpstr>'ges++'!Print_Area</vt:lpstr>
      <vt:lpstr>'ges+100'!Print_Area</vt:lpstr>
      <vt:lpstr>'ges+15'!Print_Area</vt:lpstr>
      <vt:lpstr>'ges+15 (2)'!Print_Area</vt:lpstr>
      <vt:lpstr>'ges+15 (3)'!Print_Area</vt:lpstr>
      <vt:lpstr>'ges+15 (4)'!Print_Area</vt:lpstr>
      <vt:lpstr>P3D!Print_Area</vt:lpstr>
      <vt:lpstr>Pindah!Print_Area</vt:lpstr>
      <vt:lpstr>'Pindah Perkimtan'!Print_Area</vt:lpstr>
      <vt:lpstr>prog!Print_Area</vt:lpstr>
      <vt:lpstr>'prog++'!Print_Area</vt:lpstr>
      <vt:lpstr>'prog+100'!Print_Area</vt:lpstr>
      <vt:lpstr>PUPR!Print_Area</vt:lpstr>
      <vt:lpstr>'PUPR (2)'!Print_Area</vt:lpstr>
      <vt:lpstr>'PUPR++'!Print_Area</vt:lpstr>
      <vt:lpstr>Ranperda!Print_Area</vt:lpstr>
      <vt:lpstr>ak!Print_Titles</vt:lpstr>
      <vt:lpstr>BW!Print_Titles</vt:lpstr>
      <vt:lpstr>Gbg!Print_Titles</vt:lpstr>
      <vt:lpstr>'Gbg++'!Print_Titles</vt:lpstr>
      <vt:lpstr>'Gbg+100'!Print_Titles</vt:lpstr>
      <vt:lpstr>'ges+'!Print_Titles</vt:lpstr>
      <vt:lpstr>'ges++'!Print_Titles</vt:lpstr>
      <vt:lpstr>'ges+100'!Print_Titles</vt:lpstr>
      <vt:lpstr>Pindah!Print_Titles</vt:lpstr>
      <vt:lpstr>'Pindah Perkimtan'!Print_Titles</vt:lpstr>
      <vt:lpstr>prog!Print_Titles</vt:lpstr>
      <vt:lpstr>'prog++'!Print_Titles</vt:lpstr>
      <vt:lpstr>'prog+100'!Print_Titles</vt:lpstr>
      <vt:lpstr>PUPR!Print_Titles</vt:lpstr>
      <vt:lpstr>'PUPR (2)'!Print_Titles</vt:lpstr>
      <vt:lpstr>'PUPR++'!Print_Titles</vt:lpstr>
      <vt:lpstr>Ranperda!Print_Titles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Aulisa</dc:creator>
  <cp:lastModifiedBy>Program PU PR</cp:lastModifiedBy>
  <cp:lastPrinted>2017-12-08T08:51:07Z</cp:lastPrinted>
  <dcterms:created xsi:type="dcterms:W3CDTF">2017-07-17T08:34:52Z</dcterms:created>
  <dcterms:modified xsi:type="dcterms:W3CDTF">2017-12-08T08:51:13Z</dcterms:modified>
</cp:coreProperties>
</file>